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6" windowHeight="11016" activeTab="0"/>
  </bookViews>
  <sheets>
    <sheet name="Tabelle2" sheetId="1" r:id="rId1"/>
  </sheets>
  <definedNames>
    <definedName name="_xlnm.Print_Area" localSheetId="0">'Tabelle2'!$A$1:$Q$226</definedName>
  </definedNames>
  <calcPr fullCalcOnLoad="1"/>
</workbook>
</file>

<file path=xl/sharedStrings.xml><?xml version="1.0" encoding="utf-8"?>
<sst xmlns="http://schemas.openxmlformats.org/spreadsheetml/2006/main" count="361" uniqueCount="282">
  <si>
    <t>Rahmendaten:</t>
  </si>
  <si>
    <t>Primärenergieverbrauch PEV:</t>
  </si>
  <si>
    <t>GW</t>
  </si>
  <si>
    <t>kW</t>
  </si>
  <si>
    <t>%</t>
  </si>
  <si>
    <t>Windkraftanlagen WKA:</t>
  </si>
  <si>
    <t>qkm</t>
  </si>
  <si>
    <t>Mittlerer Kraftstoffverbrauch</t>
  </si>
  <si>
    <t>Solarthermie</t>
  </si>
  <si>
    <t>PJ</t>
  </si>
  <si>
    <t>TWh</t>
  </si>
  <si>
    <t>Stromerzeugung Windkraftanlagen:</t>
  </si>
  <si>
    <t>Abkürzungen</t>
  </si>
  <si>
    <t>MW = Megawatt = 1000 Kilowatt</t>
  </si>
  <si>
    <t>PEV = Primärenergieverbrauch</t>
  </si>
  <si>
    <t>TWh = Terawattstunden= Mrd kWh</t>
  </si>
  <si>
    <t>EEV = Endenergieverbrauch</t>
  </si>
  <si>
    <t>PJ = Petajoule</t>
  </si>
  <si>
    <t>Eingaben schwarz</t>
  </si>
  <si>
    <t>Ergebnisse rot</t>
  </si>
  <si>
    <t>Umrechnungen</t>
  </si>
  <si>
    <t>s/h</t>
  </si>
  <si>
    <t>h/Jahr</t>
  </si>
  <si>
    <t>h/Tag</t>
  </si>
  <si>
    <t>Tage/Jahr</t>
  </si>
  <si>
    <t>TWh / PJ</t>
  </si>
  <si>
    <t>GWp</t>
  </si>
  <si>
    <t>W/qm</t>
  </si>
  <si>
    <t>Jahresertrag</t>
  </si>
  <si>
    <t>Fläche</t>
  </si>
  <si>
    <t>qkm/WKA</t>
  </si>
  <si>
    <t>km</t>
  </si>
  <si>
    <t>Mechanische Energie</t>
  </si>
  <si>
    <t xml:space="preserve">Fakten </t>
  </si>
  <si>
    <t>% CO2</t>
  </si>
  <si>
    <t xml:space="preserve">   Mineralöl</t>
  </si>
  <si>
    <t xml:space="preserve">   Steinkohle</t>
  </si>
  <si>
    <t xml:space="preserve">   Braunkohle</t>
  </si>
  <si>
    <t xml:space="preserve">   Erdgas, Erdölgas</t>
  </si>
  <si>
    <t xml:space="preserve">   Kernenergie</t>
  </si>
  <si>
    <t xml:space="preserve">   Wasser- und Windkraft</t>
  </si>
  <si>
    <t xml:space="preserve">   andere Erneuerbare</t>
  </si>
  <si>
    <t>Endenergie Strom</t>
  </si>
  <si>
    <t>Stromerzeugung Photovoltaik:</t>
  </si>
  <si>
    <t>Treibhausgasemissionen</t>
  </si>
  <si>
    <t>Bruttostromverbrauch</t>
  </si>
  <si>
    <t xml:space="preserve">     Holz, Stroh u. a. feste Stoffe</t>
  </si>
  <si>
    <t xml:space="preserve">     Biodiesel u.a.flüssige Brennstoffe</t>
  </si>
  <si>
    <t xml:space="preserve">     Müll, Deponiegas</t>
  </si>
  <si>
    <t xml:space="preserve">     Klärgas einschl. Biogas</t>
  </si>
  <si>
    <t>PJ/TWh</t>
  </si>
  <si>
    <t>Raumwärme</t>
  </si>
  <si>
    <t>Warmwasser</t>
  </si>
  <si>
    <t>sonstige Prozesswärme</t>
  </si>
  <si>
    <t>Klimakälte</t>
  </si>
  <si>
    <t>Sonstige Prozesskältekälte</t>
  </si>
  <si>
    <t>IKT (Strom)</t>
  </si>
  <si>
    <t>(2017)</t>
  </si>
  <si>
    <t>Summe:</t>
  </si>
  <si>
    <t>Missverständnisse</t>
  </si>
  <si>
    <t>Tabelle 1</t>
  </si>
  <si>
    <t>Tabelle 7</t>
  </si>
  <si>
    <t>Tabelle 4</t>
  </si>
  <si>
    <t>Tabelle 10</t>
  </si>
  <si>
    <t>Tabelle 6</t>
  </si>
  <si>
    <t>Tabelle 8</t>
  </si>
  <si>
    <t>Tabelle 8a</t>
  </si>
  <si>
    <t>Tabelle 8b</t>
  </si>
  <si>
    <t>Tabelle 20</t>
  </si>
  <si>
    <t>Tabelle 22</t>
  </si>
  <si>
    <t>Bruttostromerzeugung</t>
  </si>
  <si>
    <t>Primärenergieverbrauch PEV</t>
  </si>
  <si>
    <t xml:space="preserve">  Wind </t>
  </si>
  <si>
    <t xml:space="preserve">  Photovoltaik</t>
  </si>
  <si>
    <t xml:space="preserve">  Windkraft</t>
  </si>
  <si>
    <t>Installiert/nutzbar</t>
  </si>
  <si>
    <t>Bruttostromerzeugung/PEV</t>
  </si>
  <si>
    <t>Installierte und nutzbare Leistung</t>
  </si>
  <si>
    <t>Lösungen</t>
  </si>
  <si>
    <t>Bruttostromerzeugung gesamt</t>
  </si>
  <si>
    <t>Windkraft (EEV)</t>
  </si>
  <si>
    <t>Schlussbemerkungen</t>
  </si>
  <si>
    <t>aus GWp:</t>
  </si>
  <si>
    <t>https://www.ise.fraunhofer.de/content/dam/ise/de/documents/publications/studies/Fraunhofer-ISE_Energiesystem-Deutschland-2050.pdf</t>
  </si>
  <si>
    <t>Jahr 2050:</t>
  </si>
  <si>
    <t>Anhang</t>
  </si>
  <si>
    <t>Bioenergie</t>
  </si>
  <si>
    <t>ha</t>
  </si>
  <si>
    <t>qm</t>
  </si>
  <si>
    <t>W</t>
  </si>
  <si>
    <t>Sonnenenergie</t>
  </si>
  <si>
    <t>Windenergie</t>
  </si>
  <si>
    <t>Wind an Land</t>
  </si>
  <si>
    <t>Fläche Deutschland</t>
  </si>
  <si>
    <t>)</t>
  </si>
  <si>
    <t>Photovoltaik</t>
  </si>
  <si>
    <t>Fläche Solarzellen 2050</t>
  </si>
  <si>
    <t>Bruttostromerzeugung.</t>
  </si>
  <si>
    <t>1990</t>
  </si>
  <si>
    <t>Jahr</t>
  </si>
  <si>
    <t>2018</t>
  </si>
  <si>
    <t>2030 zu 1990</t>
  </si>
  <si>
    <t>2030 zu 2018</t>
  </si>
  <si>
    <t>Mt CO2</t>
  </si>
  <si>
    <t xml:space="preserve"> -55</t>
  </si>
  <si>
    <t>nur CO2</t>
  </si>
  <si>
    <t>alle Gase</t>
  </si>
  <si>
    <t>Zukünftige Energieversorgung</t>
  </si>
  <si>
    <t>A. Kleidon, "Life, hierarchy, and the thermodynamic machinery of planet Earth",</t>
  </si>
  <si>
    <t>kWh / qm / Jahr</t>
  </si>
  <si>
    <t>Wp / qm</t>
  </si>
  <si>
    <t>kWh / kWp</t>
  </si>
  <si>
    <t xml:space="preserve">W/qm </t>
  </si>
  <si>
    <t>Fossile Energieträger</t>
  </si>
  <si>
    <t>Nichtfossile Energieträger</t>
  </si>
  <si>
    <t>Energieeinsparungen</t>
  </si>
  <si>
    <t>Physics of Life Reviews Vol. 7, Issue 4, p. 424 (2010), doi:10.1016/j.plrev.2010.10.002</t>
  </si>
  <si>
    <t>darin 5.1 „Solar radiation“, p. 444, und Tafel 3.</t>
  </si>
  <si>
    <t>Mt = Megatonne</t>
  </si>
  <si>
    <t>https://www.bmu.de/fileadmin/Daten_BMU/Download_PDF/Klimaschutz/pi-thg_abbildungen_bf.pdf</t>
  </si>
  <si>
    <t>Fossile gesamt</t>
  </si>
  <si>
    <t>Nichtfossile gesamt</t>
  </si>
  <si>
    <t>Gesamtenergie 2018:</t>
  </si>
  <si>
    <t xml:space="preserve">     Wasserkraft</t>
  </si>
  <si>
    <t xml:space="preserve">     Windkraft</t>
  </si>
  <si>
    <t xml:space="preserve">     Photovoltaik</t>
  </si>
  <si>
    <r>
      <t xml:space="preserve">     Sonstige Erneuerbare</t>
    </r>
    <r>
      <rPr>
        <vertAlign val="superscript"/>
        <sz val="10"/>
        <rFont val="Times New Roman"/>
        <family val="1"/>
      </rPr>
      <t>1)</t>
    </r>
  </si>
  <si>
    <t>1) Solarthermie, Geothermie, Wärmepumpen</t>
  </si>
  <si>
    <r>
      <t xml:space="preserve">   Sonstige </t>
    </r>
    <r>
      <rPr>
        <vertAlign val="superscript"/>
        <sz val="10"/>
        <rFont val="Times New Roman"/>
        <family val="1"/>
      </rPr>
      <t>4)</t>
    </r>
  </si>
  <si>
    <t>4) Sonstige Energieträger u. a. Grubengas, nichterneuerbarer Müll</t>
  </si>
  <si>
    <t>Tabelle 21</t>
  </si>
  <si>
    <t xml:space="preserve"> Kap. 1 Flächenabschätzungen,</t>
  </si>
  <si>
    <t>https://www.bmwi.de/Redaktion/DE/Artikel/Energie/energiedaten-gesamtausgabe.html</t>
  </si>
  <si>
    <t>Wärme/Kälte</t>
  </si>
  <si>
    <t>Prozesswärme</t>
  </si>
  <si>
    <t>Verkehr</t>
  </si>
  <si>
    <t>Beleuchtung (Strom)</t>
  </si>
  <si>
    <t>(Strom)</t>
  </si>
  <si>
    <t>https://www.ise.fraunhofer.de/content/dam/ise/de/documents/publications/studies/aktuelle-fakten-zur-photovoltaik-in-deutschland.pdf</t>
  </si>
  <si>
    <t>Zwischensummen %</t>
  </si>
  <si>
    <t xml:space="preserve">"Sonstige" wurde zu "Mineralöl" hinzugezählt, </t>
  </si>
  <si>
    <t>"Außenhandelssaldo Strom" (‑1,4% ) wurde weggelassen</t>
  </si>
  <si>
    <t>Strom aus der Wüste</t>
  </si>
  <si>
    <t>Kernenergie</t>
  </si>
  <si>
    <t xml:space="preserve">Fusionsenergie </t>
  </si>
  <si>
    <t>DPG 2018 S. 120</t>
  </si>
  <si>
    <t>DPG 2018 S. 23</t>
  </si>
  <si>
    <t xml:space="preserve">Arbeitskreis Energie in der Deutschen Physikalischen Gesellschaft </t>
  </si>
  <si>
    <t>Prof. Dr. Hardo Bruns, Hrsg.</t>
  </si>
  <si>
    <t>Mio</t>
  </si>
  <si>
    <t>DPG 2018, Seite 75</t>
  </si>
  <si>
    <t xml:space="preserve">Kraftstoffeinsparung </t>
  </si>
  <si>
    <t>https://www.kba.de/DE/Statistik/Fahrzeuge/Neuzulassungen/Motorisierung/n_motorisierung_pkw_zeitreihe_techn_merkmale.html?nn=652392</t>
  </si>
  <si>
    <t>https://de.statista.com/infografik/10534/anteil-von-benzin-und-diesel-an-pkw-neuzulassungen-in-deutschland/</t>
  </si>
  <si>
    <t>Solarschiff</t>
  </si>
  <si>
    <t>Jahreszeitliche Schwankungen</t>
  </si>
  <si>
    <t xml:space="preserve">https://www.dpg-physik.de/veroeffentlichungen/publikationen/physikkonkret/zusatzinfos/zusatz_pk18.html </t>
  </si>
  <si>
    <t>DPG  2018 S. 104</t>
  </si>
  <si>
    <t>DPG 2017 S. 147</t>
  </si>
  <si>
    <t>https://www.bmu.de/fileadmin/Daten_BMU/Download_PDF/Klimaschutz/klimaschutz_in_zahlen_klimaziele_bf.pdf</t>
  </si>
  <si>
    <t>EU Klimapakt</t>
  </si>
  <si>
    <t>für 2018 aus:</t>
  </si>
  <si>
    <t xml:space="preserve">Quellenangaben zum Artikel "Energiewende: Fakten, Missverständnisse, Lösungen" </t>
  </si>
  <si>
    <t>Die benutzte BMWi Tabelle ist jeweils in der zweiten Spalte angegeben</t>
  </si>
  <si>
    <t>letzte Aktualisierung: 22.01.2019</t>
  </si>
  <si>
    <t>Abb. 1, CO2-Ausstoß</t>
  </si>
  <si>
    <t>Zwischenziel -40% CO2 von 2018 bis 2030</t>
  </si>
  <si>
    <t>88% CO2-Anteil an klimaschädlichen Gasen</t>
  </si>
  <si>
    <t>-25% CO2 seit 1990</t>
  </si>
  <si>
    <t>19% Anteil Stromsektor</t>
  </si>
  <si>
    <t xml:space="preserve">https://www.physi.uni-heidelberg.de/energiewende/belege/files/Energiewende_Web_2019.pdf </t>
  </si>
  <si>
    <t>https://de.wikipedia.org/wiki/Wirkungsgrad</t>
  </si>
  <si>
    <t>Kap. 6 Beispiele</t>
  </si>
  <si>
    <t>www.hdsolarschiff.com/</t>
  </si>
  <si>
    <t>Technik</t>
  </si>
  <si>
    <t>(Das Jahr 2018 ist dort zurzeit noch nicht  vollständig erfasst)</t>
  </si>
  <si>
    <t xml:space="preserve"> 'kleine Nebenrechnung'</t>
  </si>
  <si>
    <t>https://www.bundesregierung.de/breg-de/suche/bundesregierung-beschliesst-ausstieg-aus-der-kernkraft-bis-2022-457246</t>
  </si>
  <si>
    <t>https://www.umweltbundesamt.de/themen/wasser/fluesse/nutzung-belastungen/nutzung-von-fluessen-wasserkraft#textpart-5</t>
  </si>
  <si>
    <t>https://de.statista.com/statistik/daten/studie/20116/umfrage/anzahl-der-windkraftanlagen-in-deutschland-seit-1993/</t>
  </si>
  <si>
    <t>Faktor</t>
  </si>
  <si>
    <t>aus TWh:</t>
  </si>
  <si>
    <t>Haushaltsstrom (EEV)</t>
  </si>
  <si>
    <t>Gesamtstrom (EEV)</t>
  </si>
  <si>
    <t>EEV/PEV Gesamtstrom</t>
  </si>
  <si>
    <t>Abb. 2, Energieversorgung (PEV)</t>
  </si>
  <si>
    <t>für 2018:</t>
  </si>
  <si>
    <t xml:space="preserve">Zwischensumme Biomasse: </t>
  </si>
  <si>
    <t>Gesamtstrom (PEV)</t>
  </si>
  <si>
    <t>Gesamstrom/Gesamtenergie (PEV)</t>
  </si>
  <si>
    <t>Haushaltsstrom (PEV)</t>
  </si>
  <si>
    <t>Hauhaltsstrom/Gesamtstrom (PEV)</t>
  </si>
  <si>
    <t>Haushalte pro Windrad mehr als</t>
  </si>
  <si>
    <t>6% des 2010-Ziels</t>
  </si>
  <si>
    <t>https://www.wetterkontor.de/de/bft_tabelle.html</t>
  </si>
  <si>
    <t>Bei Windstärken mit einem Zehn-Sekunden-Mittel von 20 bis 30 Metern pro Sekunde (72 bis 108 km/h).</t>
  </si>
  <si>
    <t>Dies entspricht Windstärke 10 (schwerer Sturm)</t>
  </si>
  <si>
    <t>https://www.sueddeutsche.de/muenchen/zweites-windrad-muenchen-1.4243916</t>
  </si>
  <si>
    <t>30 Mio versorgte Haushalte</t>
  </si>
  <si>
    <t>www.renewable-energy-concepts.com/german/windenergie/windkraftanlagen-technologie/windgenerator-leistungsgrenzen.html</t>
  </si>
  <si>
    <t>Zum Vergleich: PKW Zuwachs</t>
  </si>
  <si>
    <t xml:space="preserve">Faktor 2050/2018: </t>
  </si>
  <si>
    <t>Bruttostromerzeugungskapazitäten (GWp, 2015)</t>
  </si>
  <si>
    <t>Mittlerer Abstand der Windräder</t>
  </si>
  <si>
    <t>1,5 Watt/qm:</t>
  </si>
  <si>
    <t>12% Kraftstoffeinsparung</t>
  </si>
  <si>
    <t>DPG 2014, Seite 21: 1.2 Bioenergie in Deutschland:</t>
  </si>
  <si>
    <t xml:space="preserve"> 'Versorgte Haushalte'</t>
  </si>
  <si>
    <t>Mittlere Leistung</t>
  </si>
  <si>
    <t>https://de.wikipedia.org/wiki/Photovoltaik_in_Deutschland</t>
  </si>
  <si>
    <t>https://photovoltaiksolarstrom.com/photovoltaiklexikon/solarertrag-staedte/</t>
  </si>
  <si>
    <t>Seite 41 in:</t>
  </si>
  <si>
    <t>WKA = Windkraftanlage</t>
  </si>
  <si>
    <t>20% Anteil Nichtfossile</t>
  </si>
  <si>
    <t>Absolut 1% Rückgang</t>
  </si>
  <si>
    <t>https://www.ingenieur.de/technik/fachbereiche/energie/schneller-brueter-in-russland-laeuft-jetzt-voller-leistung/</t>
  </si>
  <si>
    <t>Die folgenden Seiten bringen detaillierte Quellenangaben und Nebenrechnungen, kapitel- und abschnittsweise</t>
  </si>
  <si>
    <t>Die meisten Daten sind aus den Excel Tabellen des Bundesministeriums für Wirtschaft und Technologie</t>
  </si>
  <si>
    <t xml:space="preserve"> ↓Abschnitt Nr.</t>
  </si>
  <si>
    <t>Einleitung</t>
  </si>
  <si>
    <t>https://www.sueddeutsche.de/panorama/wetter-dieser-winter-war-warm-und-nass-1.3885552</t>
  </si>
  <si>
    <t>Milder Winter 2017/2018</t>
  </si>
  <si>
    <t>https://www.greenpeace.de/sites/www.greenpeace.de/files/Faktenblatt_Deutschland2_0.pdf</t>
  </si>
  <si>
    <t>https://de.statista.com/statistik/daten/studie/36306/umfrage/entwicklung-der-verguetung-nach-dem-eeg-seit-2000/</t>
  </si>
  <si>
    <t>Erhebliche Investitionen</t>
  </si>
  <si>
    <t>(BMWi)</t>
  </si>
  <si>
    <t>Deindustrialisierung der DDR</t>
  </si>
  <si>
    <t>GW = Gigawatt = 1000 Megawatt</t>
  </si>
  <si>
    <t>des jeweiligen Jahres, hier 2018:</t>
  </si>
  <si>
    <t xml:space="preserve">Diese Prozentwerte sind bezogen auf die Gesamtenergie </t>
  </si>
  <si>
    <t>(Alle Prozentwerte bezogen auf das Jahr 2009)</t>
  </si>
  <si>
    <t>Kernenergie bis 2022 auf null</t>
  </si>
  <si>
    <t>Wasserkraft seit Jahrzehnten unverändert</t>
  </si>
  <si>
    <t>Nutzung Energie</t>
  </si>
  <si>
    <t>z.B.:</t>
  </si>
  <si>
    <t>95% CO2-Verringerung</t>
  </si>
  <si>
    <t>aus Abb. 11, oberste Reihe:</t>
  </si>
  <si>
    <t>Fläche pro Windrad an Land, 2050</t>
  </si>
  <si>
    <t>(Wind off shore</t>
  </si>
  <si>
    <t>Abschaltung Windräder</t>
  </si>
  <si>
    <t>2050: alle 2-3 km ein Windrad</t>
  </si>
  <si>
    <t>2050: 1000 qkm Solarzellen</t>
  </si>
  <si>
    <t>Mittelwert aus den drei Werten</t>
  </si>
  <si>
    <t>30% Wirkungsgrad PKW</t>
  </si>
  <si>
    <t>Anzahl PKW</t>
  </si>
  <si>
    <t>Leistung PKW unter Volllast</t>
  </si>
  <si>
    <t>siehe z.B.:</t>
  </si>
  <si>
    <t>Im Folgenden abgekürzt zu: "DPG 2018, Seite 75"</t>
  </si>
  <si>
    <t>Großes Potenzial der Sonnenenergie</t>
  </si>
  <si>
    <t>https://www.fvv-net.de/fileadmin/user_upload/medien/materialien/FVV__Kraftstoffe__Studie_Energiepfade__final_v.3_2018-10-01__DE.pdf</t>
  </si>
  <si>
    <t>vierhundert PKW teilen sich ein Windrad:</t>
  </si>
  <si>
    <t>(2015)</t>
  </si>
  <si>
    <t>Gesamt-Kraftstoffverbrauch PKW (2015)</t>
  </si>
  <si>
    <t>MWh</t>
  </si>
  <si>
    <t>Anzahl PKW pro Windrad</t>
  </si>
  <si>
    <t xml:space="preserve">     Jahresenergie</t>
  </si>
  <si>
    <t>mittlere Leistung</t>
  </si>
  <si>
    <t>MW /TWh</t>
  </si>
  <si>
    <t>MW /PJ</t>
  </si>
  <si>
    <t>Anzahl Haushalte</t>
  </si>
  <si>
    <t>Anzahl Windkraftanlagen (WKA)</t>
  </si>
  <si>
    <t>PKW/WKA</t>
  </si>
  <si>
    <t>PEV</t>
  </si>
  <si>
    <t>EEV</t>
  </si>
  <si>
    <t>mittlere installierte Leistung einer WKA</t>
  </si>
  <si>
    <t>mittlere nutzbare Leistung einer WKA</t>
  </si>
  <si>
    <t>Jahresenergie pro PKW</t>
  </si>
  <si>
    <r>
      <rPr>
        <b/>
        <sz val="10"/>
        <color indexed="10"/>
        <rFont val="Arial"/>
        <family val="2"/>
      </rPr>
      <t>Fett:</t>
    </r>
    <r>
      <rPr>
        <sz val="10"/>
        <color indexed="10"/>
        <rFont val="Arial"/>
        <family val="2"/>
      </rPr>
      <t xml:space="preserve"> so im Artikel zitiert</t>
    </r>
  </si>
  <si>
    <t>Seite 9 in:</t>
  </si>
  <si>
    <r>
      <t xml:space="preserve">Kraftstoff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(EEV)</t>
    </r>
  </si>
  <si>
    <t>kWh / qm</t>
  </si>
  <si>
    <t>Installierte Leistung</t>
  </si>
  <si>
    <t>Jahresertrag/Peakleistg.</t>
  </si>
  <si>
    <t>Die mittlere Flächenleistung wurde aus drei verschiedenen unabhängigen Quellen berechnet, da keine direkte Quellenangabe zu finden:</t>
  </si>
  <si>
    <t>Jahresertrag pro WKA</t>
  </si>
  <si>
    <t>Wp/qm</t>
  </si>
  <si>
    <t>15.07.2019</t>
  </si>
  <si>
    <r>
      <rPr>
        <b/>
        <sz val="10"/>
        <rFont val="Arial"/>
        <family val="2"/>
      </rPr>
      <t>Fett:</t>
    </r>
    <r>
      <rPr>
        <sz val="10"/>
        <rFont val="Arial"/>
        <family val="2"/>
      </rPr>
      <t xml:space="preserve"> so im Artikel zitiert</t>
    </r>
  </si>
  <si>
    <t xml:space="preserve">Beliebige Erfolgszahlen:    Faktor </t>
  </si>
  <si>
    <r>
      <t xml:space="preserve">  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Kraftstoffe und übrige Mineralölprodukte</t>
    </r>
  </si>
  <si>
    <t>Wp = Wattpeak</t>
  </si>
  <si>
    <t>15-20 Watt, 120-140 Wattpeak je qm Solarzelle: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</si>
</sst>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E+00"/>
    <numFmt numFmtId="173" formatCode="0.000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0.0000"/>
    <numFmt numFmtId="181" formatCode="#,##0.0"/>
    <numFmt numFmtId="182" formatCode="0.E+00"/>
    <numFmt numFmtId="183" formatCode="0.0\ \ \ "/>
    <numFmt numFmtId="184" formatCode="#,##0.00\ _€"/>
    <numFmt numFmtId="185" formatCode="#,##0\ \ \ "/>
    <numFmt numFmtId="186" formatCode="0.0\ \ "/>
    <numFmt numFmtId="187" formatCode="0.0\ "/>
    <numFmt numFmtId="188" formatCode="0.000E+00"/>
    <numFmt numFmtId="189" formatCode="#,##0.0\ \ \ "/>
  </numFmts>
  <fonts count="5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NewCenturySchlbk"/>
      <family val="0"/>
    </font>
    <font>
      <sz val="10"/>
      <name val="Times New Roman"/>
      <family val="1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vertAlign val="superscript"/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79">
    <xf numFmtId="0" fontId="0" fillId="0" borderId="0" xfId="0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NumberFormat="1" applyFont="1" applyAlignment="1">
      <alignment horizontal="left"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4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0" fontId="7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4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4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left"/>
    </xf>
    <xf numFmtId="174" fontId="55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right"/>
    </xf>
    <xf numFmtId="172" fontId="7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83" fontId="55" fillId="0" borderId="0" xfId="0" applyNumberFormat="1" applyFont="1" applyAlignment="1">
      <alignment/>
    </xf>
    <xf numFmtId="0" fontId="10" fillId="33" borderId="0" xfId="54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183" fontId="55" fillId="0" borderId="0" xfId="0" applyNumberFormat="1" applyFont="1" applyAlignment="1">
      <alignment horizontal="right" vertical="center"/>
    </xf>
    <xf numFmtId="174" fontId="56" fillId="0" borderId="0" xfId="0" applyNumberFormat="1" applyFont="1" applyAlignment="1">
      <alignment/>
    </xf>
    <xf numFmtId="183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174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74" fontId="1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4" fontId="1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72" fontId="55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2" fillId="0" borderId="0" xfId="47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174" fontId="5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0" fontId="10" fillId="0" borderId="0" xfId="54" applyFont="1" applyBorder="1" applyAlignment="1">
      <alignment/>
      <protection/>
    </xf>
    <xf numFmtId="174" fontId="0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55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47" applyAlignment="1" applyProtection="1">
      <alignment/>
      <protection/>
    </xf>
    <xf numFmtId="49" fontId="0" fillId="0" borderId="0" xfId="0" applyNumberFormat="1" applyFont="1" applyAlignment="1">
      <alignment horizontal="right"/>
    </xf>
    <xf numFmtId="0" fontId="10" fillId="33" borderId="0" xfId="0" applyFont="1" applyFill="1" applyAlignment="1">
      <alignment/>
    </xf>
    <xf numFmtId="0" fontId="10" fillId="0" borderId="0" xfId="54" applyFont="1" applyAlignment="1">
      <alignment/>
      <protection/>
    </xf>
    <xf numFmtId="1" fontId="55" fillId="0" borderId="0" xfId="0" applyNumberFormat="1" applyFont="1" applyBorder="1" applyAlignment="1">
      <alignment horizontal="right" vertical="center"/>
    </xf>
    <xf numFmtId="183" fontId="55" fillId="0" borderId="0" xfId="0" applyNumberFormat="1" applyFont="1" applyBorder="1" applyAlignment="1">
      <alignment/>
    </xf>
    <xf numFmtId="181" fontId="5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47" applyNumberFormat="1" applyAlignment="1" applyProtection="1">
      <alignment horizontal="left"/>
      <protection/>
    </xf>
    <xf numFmtId="0" fontId="2" fillId="0" borderId="0" xfId="47" applyNumberFormat="1" applyAlignment="1" applyProtection="1">
      <alignment/>
      <protection/>
    </xf>
    <xf numFmtId="174" fontId="2" fillId="0" borderId="0" xfId="47" applyNumberFormat="1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4" fontId="8" fillId="0" borderId="0" xfId="0" applyNumberFormat="1" applyFont="1" applyAlignment="1">
      <alignment horizontal="right"/>
    </xf>
    <xf numFmtId="0" fontId="2" fillId="0" borderId="0" xfId="47" applyAlignment="1" applyProtection="1">
      <alignment horizontal="left" vertical="center"/>
      <protection/>
    </xf>
    <xf numFmtId="0" fontId="0" fillId="0" borderId="0" xfId="53" applyFont="1" applyAlignment="1">
      <alignment horizontal="left"/>
      <protection/>
    </xf>
    <xf numFmtId="0" fontId="5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1" fontId="56" fillId="0" borderId="0" xfId="48" applyNumberFormat="1" applyFont="1" applyFill="1" applyBorder="1" applyAlignment="1">
      <alignment/>
    </xf>
    <xf numFmtId="0" fontId="56" fillId="0" borderId="0" xfId="0" applyFont="1" applyAlignment="1">
      <alignment horizontal="left"/>
    </xf>
    <xf numFmtId="0" fontId="0" fillId="0" borderId="0" xfId="0" applyFill="1" applyBorder="1" applyAlignment="1" quotePrefix="1">
      <alignment/>
    </xf>
    <xf numFmtId="49" fontId="0" fillId="0" borderId="0" xfId="0" applyNumberFormat="1" applyFont="1" applyAlignment="1" quotePrefix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1" fontId="55" fillId="0" borderId="0" xfId="0" applyNumberFormat="1" applyFont="1" applyFill="1" applyBorder="1" applyAlignment="1">
      <alignment/>
    </xf>
    <xf numFmtId="185" fontId="0" fillId="33" borderId="0" xfId="54" applyNumberFormat="1" applyFont="1" applyFill="1" applyBorder="1" applyAlignment="1">
      <alignment horizontal="right"/>
      <protection/>
    </xf>
    <xf numFmtId="1" fontId="0" fillId="0" borderId="0" xfId="54" applyNumberFormat="1" applyFont="1" applyBorder="1" applyAlignment="1">
      <alignment horizontal="right"/>
      <protection/>
    </xf>
    <xf numFmtId="1" fontId="0" fillId="33" borderId="0" xfId="54" applyNumberFormat="1" applyFont="1" applyFill="1" applyBorder="1" applyAlignment="1">
      <alignment horizontal="right"/>
      <protection/>
    </xf>
    <xf numFmtId="183" fontId="0" fillId="0" borderId="0" xfId="54" applyNumberFormat="1" applyFont="1" applyBorder="1" applyAlignment="1">
      <alignment vertical="center"/>
      <protection/>
    </xf>
    <xf numFmtId="183" fontId="55" fillId="0" borderId="0" xfId="0" applyNumberFormat="1" applyFont="1" applyAlignment="1">
      <alignment vertical="center"/>
    </xf>
    <xf numFmtId="183" fontId="0" fillId="0" borderId="0" xfId="54" applyNumberFormat="1" applyFont="1" applyBorder="1" applyAlignment="1">
      <alignment horizontal="right"/>
      <protection/>
    </xf>
    <xf numFmtId="174" fontId="55" fillId="0" borderId="0" xfId="0" applyNumberFormat="1" applyFont="1" applyBorder="1" applyAlignment="1">
      <alignment horizontal="right"/>
    </xf>
    <xf numFmtId="183" fontId="55" fillId="0" borderId="0" xfId="54" applyNumberFormat="1" applyFont="1" applyBorder="1" applyAlignment="1">
      <alignment/>
      <protection/>
    </xf>
    <xf numFmtId="187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49" fontId="6" fillId="0" borderId="0" xfId="54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 quotePrefix="1">
      <alignment horizontal="left"/>
    </xf>
    <xf numFmtId="183" fontId="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right"/>
    </xf>
    <xf numFmtId="174" fontId="56" fillId="0" borderId="0" xfId="0" applyNumberFormat="1" applyFont="1" applyAlignment="1">
      <alignment horizontal="left"/>
    </xf>
    <xf numFmtId="185" fontId="0" fillId="0" borderId="0" xfId="54" applyNumberFormat="1" applyFont="1" applyBorder="1" applyAlignment="1">
      <alignment horizontal="right"/>
      <protection/>
    </xf>
    <xf numFmtId="183" fontId="0" fillId="0" borderId="0" xfId="54" applyNumberFormat="1" applyFont="1" applyBorder="1" applyAlignment="1">
      <alignment/>
      <protection/>
    </xf>
    <xf numFmtId="0" fontId="19" fillId="0" borderId="0" xfId="0" applyFont="1" applyAlignment="1">
      <alignment horizontal="left"/>
    </xf>
    <xf numFmtId="1" fontId="55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2" fontId="55" fillId="0" borderId="0" xfId="0" applyNumberFormat="1" applyFont="1" applyAlignment="1">
      <alignment/>
    </xf>
    <xf numFmtId="49" fontId="0" fillId="0" borderId="0" xfId="47" applyNumberFormat="1" applyFont="1" applyAlignment="1" applyProtection="1">
      <alignment/>
      <protection/>
    </xf>
    <xf numFmtId="1" fontId="56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5" fontId="0" fillId="0" borderId="0" xfId="54" applyNumberFormat="1" applyFont="1" applyBorder="1" applyAlignment="1">
      <alignment/>
      <protection/>
    </xf>
    <xf numFmtId="174" fontId="56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74" fontId="55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0 - Inhalt, Erläuterungen, Einheiten_Tabelle1" xfId="53"/>
    <cellStyle name="Standard_FRIEDA-Gesamtausgabe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mu.de/fileadmin/Daten_BMU/Download_PDF/Klimaschutz/pi-thg_abbildungen_bf.pdf" TargetMode="External" /><Relationship Id="rId2" Type="http://schemas.openxmlformats.org/officeDocument/2006/relationships/hyperlink" Target="https://www.ise.fraunhofer.de/content/dam/ise/de/documents/publications/studies/Fraunhofer-ISE_Energiesystem-Deutschland-2050.pdf" TargetMode="External" /><Relationship Id="rId3" Type="http://schemas.openxmlformats.org/officeDocument/2006/relationships/hyperlink" Target="https://www.bmwi.de/Redaktion/DE/Artikel/Energie/energiedaten-gesamtausgabe.html" TargetMode="External" /><Relationship Id="rId4" Type="http://schemas.openxmlformats.org/officeDocument/2006/relationships/hyperlink" Target="https://www.physi.uni-heidelberg.de/energiewende/belege/files/Energiewende_Web_2019.pdf" TargetMode="External" /><Relationship Id="rId5" Type="http://schemas.openxmlformats.org/officeDocument/2006/relationships/hyperlink" Target="https://www.ise.fraunhofer.de/content/dam/ise/de/documents/publications/studies/aktuelle-fakten-zur-photovoltaik-in-deutschland.pdf" TargetMode="External" /><Relationship Id="rId6" Type="http://schemas.openxmlformats.org/officeDocument/2006/relationships/hyperlink" Target="https://www.kba.de/DE/Statistik/Fahrzeuge/Neuzulassungen/Motorisierung/n_motorisierung_pkw_zeitreihe_techn_merkmale.html?nn=652392" TargetMode="External" /><Relationship Id="rId7" Type="http://schemas.openxmlformats.org/officeDocument/2006/relationships/hyperlink" Target="https://de.statista.com/infografik/10534/anteil-von-benzin-und-diesel-an-pkw-neuzulassungen-in-deutschland/" TargetMode="External" /><Relationship Id="rId8" Type="http://schemas.openxmlformats.org/officeDocument/2006/relationships/hyperlink" Target="https://www.dpg-physik.de/veroeffentlichungen/publikationen/physikkonkret/zusatzinfos/zusatz_pk18.html" TargetMode="External" /><Relationship Id="rId9" Type="http://schemas.openxmlformats.org/officeDocument/2006/relationships/hyperlink" Target="https://www.bmu.de/fileadmin/Daten_BMU/Download_PDF/Klimaschutz/klimaschutz_in_zahlen_klimaziele_bf.pdf" TargetMode="External" /><Relationship Id="rId10" Type="http://schemas.openxmlformats.org/officeDocument/2006/relationships/hyperlink" Target="https://www.bundesregierung.de/breg-de/suche/bundesregierung-beschliesst-ausstieg-aus-der-kernkraft-bis-2022-457246" TargetMode="External" /><Relationship Id="rId11" Type="http://schemas.openxmlformats.org/officeDocument/2006/relationships/hyperlink" Target="https://www.umweltbundesamt.de/themen/wasser/fluesse/nutzung-belastungen/nutzung-von-fluessen-wasserkraft#textpart-5" TargetMode="External" /><Relationship Id="rId12" Type="http://schemas.openxmlformats.org/officeDocument/2006/relationships/hyperlink" Target="https://de.statista.com/statistik/daten/studie/20116/umfrage/anzahl-der-windkraftanlagen-in-deutschland-seit-1993/" TargetMode="External" /><Relationship Id="rId13" Type="http://schemas.openxmlformats.org/officeDocument/2006/relationships/hyperlink" Target="https://www.sueddeutsche.de/muenchen/zweites-windrad-muenchen-1.4243916" TargetMode="External" /><Relationship Id="rId14" Type="http://schemas.openxmlformats.org/officeDocument/2006/relationships/hyperlink" Target="https://www.wetterkontor.de/de/bft_tabelle.html" TargetMode="External" /><Relationship Id="rId15" Type="http://schemas.openxmlformats.org/officeDocument/2006/relationships/hyperlink" Target="https://www.ingenieur.de/technik/fachbereiche/energie/schneller-brueter-in-russland-laeuft-jetzt-voller-leistung/" TargetMode="External" /><Relationship Id="rId16" Type="http://schemas.openxmlformats.org/officeDocument/2006/relationships/hyperlink" Target="https://www.sueddeutsche.de/panorama/wetter-dieser-winter-war-warm-und-nass-1.3885552" TargetMode="External" /><Relationship Id="rId17" Type="http://schemas.openxmlformats.org/officeDocument/2006/relationships/hyperlink" Target="https://de.statista.com/statistik/daten/studie/36306/umfrage/entwicklung-der-verguetung-nach-dem-eeg-seit-2000/" TargetMode="External" /><Relationship Id="rId18" Type="http://schemas.openxmlformats.org/officeDocument/2006/relationships/hyperlink" Target="https://www.fvv-net.de/fileadmin/user_upload/medien/materialien/FVV__Kraftstoffe__Studie_Energiepfade__final_v.3_2018-10-01__DE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8"/>
  <sheetViews>
    <sheetView tabSelected="1" view="pageLayout" zoomScale="92" zoomScaleNormal="93" zoomScaleSheetLayoutView="100" zoomScalePageLayoutView="92" workbookViewId="0" topLeftCell="A1">
      <selection activeCell="N135" sqref="N135"/>
    </sheetView>
  </sheetViews>
  <sheetFormatPr defaultColWidth="11.421875" defaultRowHeight="12.75"/>
  <cols>
    <col min="1" max="1" width="3.57421875" style="9" customWidth="1"/>
    <col min="2" max="2" width="7.57421875" style="2" customWidth="1"/>
    <col min="3" max="3" width="5.00390625" style="2" customWidth="1"/>
    <col min="4" max="4" width="7.7109375" style="10" customWidth="1"/>
    <col min="5" max="5" width="8.8515625" style="5" customWidth="1"/>
    <col min="6" max="6" width="9.00390625" style="11" customWidth="1"/>
    <col min="7" max="7" width="8.7109375" style="11" customWidth="1"/>
    <col min="8" max="8" width="7.7109375" style="12" customWidth="1"/>
    <col min="9" max="9" width="7.7109375" style="4" customWidth="1"/>
    <col min="10" max="11" width="7.7109375" style="7" customWidth="1"/>
    <col min="12" max="16" width="7.7109375" style="4" customWidth="1"/>
    <col min="17" max="21" width="8.7109375" style="4" customWidth="1"/>
    <col min="22" max="16384" width="11.421875" style="4" customWidth="1"/>
  </cols>
  <sheetData>
    <row r="1" spans="1:15" ht="15">
      <c r="A1" s="1" t="s">
        <v>162</v>
      </c>
      <c r="O1" s="8" t="s">
        <v>276</v>
      </c>
    </row>
    <row r="2" spans="1:12" ht="15">
      <c r="A2" s="1"/>
      <c r="B2" s="126" t="s">
        <v>170</v>
      </c>
      <c r="D2" s="3"/>
      <c r="E2" s="4"/>
      <c r="F2" s="5"/>
      <c r="G2" s="5"/>
      <c r="H2" s="6"/>
      <c r="L2" s="8"/>
    </row>
    <row r="3" ht="12.75">
      <c r="B3" s="4"/>
    </row>
    <row r="4" spans="2:5" ht="12.75">
      <c r="B4" s="40" t="s">
        <v>216</v>
      </c>
      <c r="C4" s="40"/>
      <c r="D4" s="40"/>
      <c r="E4" s="90"/>
    </row>
    <row r="5" ht="12.75">
      <c r="AC5" s="7"/>
    </row>
    <row r="6" spans="2:29" ht="12.75">
      <c r="B6" s="40" t="s">
        <v>217</v>
      </c>
      <c r="AC6" s="7"/>
    </row>
    <row r="7" spans="2:29" ht="12.75">
      <c r="B7" s="126" t="s">
        <v>132</v>
      </c>
      <c r="D7" s="41"/>
      <c r="E7" s="40"/>
      <c r="AC7" s="7"/>
    </row>
    <row r="8" spans="2:29" ht="12.75">
      <c r="B8" s="133" t="s">
        <v>164</v>
      </c>
      <c r="F8" s="45" t="s">
        <v>175</v>
      </c>
      <c r="AC8" s="7"/>
    </row>
    <row r="10" spans="1:2" ht="12.75">
      <c r="A10" s="9"/>
      <c r="B10" s="41" t="s">
        <v>163</v>
      </c>
    </row>
    <row r="11" ht="12.75">
      <c r="B11" s="41"/>
    </row>
    <row r="12" spans="1:5" ht="12.75">
      <c r="A12" s="9"/>
      <c r="B12" s="48" t="s">
        <v>60</v>
      </c>
      <c r="C12" s="2"/>
      <c r="D12" s="40" t="s">
        <v>0</v>
      </c>
      <c r="E12" s="40"/>
    </row>
    <row r="13" spans="1:12" ht="12.75">
      <c r="A13" s="23"/>
      <c r="B13" s="48" t="s">
        <v>62</v>
      </c>
      <c r="C13" s="2"/>
      <c r="D13" s="40" t="s">
        <v>1</v>
      </c>
      <c r="E13" s="40"/>
      <c r="H13" s="18"/>
      <c r="K13" s="12"/>
      <c r="L13" s="17"/>
    </row>
    <row r="14" spans="1:12" ht="12.75">
      <c r="A14" s="9"/>
      <c r="B14" s="48" t="s">
        <v>64</v>
      </c>
      <c r="C14" s="2"/>
      <c r="D14" s="40" t="s">
        <v>42</v>
      </c>
      <c r="E14" s="40"/>
      <c r="F14" s="5"/>
      <c r="G14" s="5"/>
      <c r="H14" s="37"/>
      <c r="I14" s="40"/>
      <c r="K14" s="12"/>
      <c r="L14" s="17"/>
    </row>
    <row r="15" spans="1:12" ht="12.75">
      <c r="A15" s="9"/>
      <c r="B15" s="48" t="s">
        <v>65</v>
      </c>
      <c r="C15" s="2"/>
      <c r="D15" s="40" t="s">
        <v>97</v>
      </c>
      <c r="E15" s="40"/>
      <c r="F15" s="38"/>
      <c r="G15" s="38"/>
      <c r="H15" s="37"/>
      <c r="I15" s="40"/>
      <c r="J15" s="44"/>
      <c r="K15" s="12"/>
      <c r="L15" s="17"/>
    </row>
    <row r="16" spans="2:12" ht="12.75">
      <c r="B16" s="48"/>
      <c r="D16" s="40" t="s">
        <v>45</v>
      </c>
      <c r="E16" s="40"/>
      <c r="J16" s="44"/>
      <c r="K16" s="12"/>
      <c r="L16" s="17"/>
    </row>
    <row r="17" spans="2:12" ht="12.75">
      <c r="B17" s="48" t="s">
        <v>66</v>
      </c>
      <c r="C17" s="2"/>
      <c r="D17" s="40" t="s">
        <v>5</v>
      </c>
      <c r="E17" s="40"/>
      <c r="I17" s="37"/>
      <c r="J17" s="44"/>
      <c r="K17" s="12"/>
      <c r="L17" s="17"/>
    </row>
    <row r="18" spans="2:12" ht="12.75">
      <c r="B18" s="48" t="s">
        <v>67</v>
      </c>
      <c r="C18" s="2"/>
      <c r="D18" s="40" t="s">
        <v>7</v>
      </c>
      <c r="E18" s="40"/>
      <c r="F18" s="38"/>
      <c r="G18" s="38"/>
      <c r="H18" s="38"/>
      <c r="I18" s="37"/>
      <c r="J18" s="44"/>
      <c r="K18" s="12"/>
      <c r="L18" s="17"/>
    </row>
    <row r="19" spans="2:12" ht="12.75">
      <c r="B19" s="48" t="s">
        <v>63</v>
      </c>
      <c r="C19" s="2"/>
      <c r="D19" s="86" t="s">
        <v>44</v>
      </c>
      <c r="E19" s="40"/>
      <c r="G19" s="42"/>
      <c r="H19" s="38"/>
      <c r="I19" s="37"/>
      <c r="J19" s="44"/>
      <c r="K19" s="12"/>
      <c r="L19" s="17"/>
    </row>
    <row r="20" spans="2:12" ht="12.75">
      <c r="B20" s="48" t="s">
        <v>68</v>
      </c>
      <c r="C20" s="2"/>
      <c r="D20" s="40" t="s">
        <v>8</v>
      </c>
      <c r="E20" s="40"/>
      <c r="H20" s="38"/>
      <c r="I20" s="37"/>
      <c r="J20" s="44"/>
      <c r="L20" s="17"/>
    </row>
    <row r="21" spans="2:12" ht="12.75">
      <c r="B21" s="48" t="s">
        <v>69</v>
      </c>
      <c r="C21" s="2"/>
      <c r="D21" s="40" t="s">
        <v>43</v>
      </c>
      <c r="E21" s="40"/>
      <c r="H21" s="38"/>
      <c r="I21" s="37"/>
      <c r="J21" s="44"/>
      <c r="K21" s="45"/>
      <c r="L21" s="17"/>
    </row>
    <row r="22" spans="2:5" ht="12.75">
      <c r="B22" s="37"/>
      <c r="D22" s="40" t="s">
        <v>11</v>
      </c>
      <c r="E22" s="40"/>
    </row>
    <row r="23" spans="1:12" ht="12.75">
      <c r="A23" s="40"/>
      <c r="G23" s="38"/>
      <c r="H23" s="38"/>
      <c r="I23" s="37"/>
      <c r="J23" s="44"/>
      <c r="K23" s="12"/>
      <c r="L23" s="17"/>
    </row>
    <row r="24" spans="1:12" ht="12.75">
      <c r="A24" s="13" t="s">
        <v>12</v>
      </c>
      <c r="C24" s="13"/>
      <c r="D24" s="48" t="s">
        <v>14</v>
      </c>
      <c r="F24" s="12"/>
      <c r="G24" s="4"/>
      <c r="H24" s="14" t="s">
        <v>13</v>
      </c>
      <c r="I24" s="11"/>
      <c r="J24" s="17"/>
      <c r="K24" s="12"/>
      <c r="L24" s="17"/>
    </row>
    <row r="25" spans="4:10" ht="12.75">
      <c r="D25" s="14" t="s">
        <v>16</v>
      </c>
      <c r="F25" s="12"/>
      <c r="G25" s="4"/>
      <c r="H25" s="45" t="s">
        <v>227</v>
      </c>
      <c r="J25" s="17"/>
    </row>
    <row r="26" spans="4:8" ht="12.75">
      <c r="D26" s="41" t="s">
        <v>212</v>
      </c>
      <c r="E26" s="11"/>
      <c r="F26" s="12"/>
      <c r="G26" s="4"/>
      <c r="H26" s="45" t="s">
        <v>280</v>
      </c>
    </row>
    <row r="27" spans="2:10" ht="12.75">
      <c r="B27" s="14"/>
      <c r="C27" s="14"/>
      <c r="D27" s="38" t="s">
        <v>118</v>
      </c>
      <c r="E27" s="11"/>
      <c r="F27" s="12"/>
      <c r="G27" s="14"/>
      <c r="H27" s="14" t="s">
        <v>15</v>
      </c>
      <c r="J27" s="17"/>
    </row>
    <row r="28" spans="2:10" ht="12.75">
      <c r="B28" s="14"/>
      <c r="C28" s="14"/>
      <c r="D28" s="5"/>
      <c r="E28" s="11"/>
      <c r="F28" s="12"/>
      <c r="G28" s="14"/>
      <c r="H28" s="14" t="s">
        <v>17</v>
      </c>
      <c r="I28" s="7"/>
      <c r="J28" s="17"/>
    </row>
    <row r="29" ht="12.75">
      <c r="J29" s="17"/>
    </row>
    <row r="30" spans="2:10" ht="12.75">
      <c r="B30" s="10"/>
      <c r="C30" s="10"/>
      <c r="D30" s="13" t="s">
        <v>18</v>
      </c>
      <c r="E30" s="4"/>
      <c r="F30" s="14"/>
      <c r="G30" s="4"/>
      <c r="H30" s="15" t="s">
        <v>19</v>
      </c>
      <c r="J30" s="17"/>
    </row>
    <row r="31" spans="1:10" ht="12.75">
      <c r="A31" s="16" t="s">
        <v>20</v>
      </c>
      <c r="C31" s="16"/>
      <c r="D31" s="5">
        <v>3600</v>
      </c>
      <c r="E31" s="5" t="s">
        <v>21</v>
      </c>
      <c r="F31" s="6"/>
      <c r="G31" s="4"/>
      <c r="H31" s="11">
        <f>D32*D33</f>
        <v>8766</v>
      </c>
      <c r="I31" s="4" t="s">
        <v>22</v>
      </c>
      <c r="J31" s="17"/>
    </row>
    <row r="32" spans="2:10" ht="12.75">
      <c r="B32" s="14"/>
      <c r="C32" s="14"/>
      <c r="D32" s="6">
        <v>24</v>
      </c>
      <c r="E32" s="5" t="s">
        <v>23</v>
      </c>
      <c r="F32" s="6"/>
      <c r="G32" s="4"/>
      <c r="H32" s="17">
        <f>1000000/H31</f>
        <v>114.07711613050422</v>
      </c>
      <c r="I32" s="40" t="s">
        <v>257</v>
      </c>
      <c r="J32" s="17"/>
    </row>
    <row r="33" spans="4:10" ht="12.75">
      <c r="D33" s="5">
        <v>365.25</v>
      </c>
      <c r="E33" s="5" t="s">
        <v>24</v>
      </c>
      <c r="F33" s="18"/>
      <c r="G33" s="4"/>
      <c r="H33" s="17">
        <f>1000000*H34/H31</f>
        <v>31.688087814028954</v>
      </c>
      <c r="I33" s="40" t="s">
        <v>258</v>
      </c>
      <c r="J33" s="17"/>
    </row>
    <row r="34" spans="4:10" ht="12.75">
      <c r="D34" s="38">
        <v>3.6</v>
      </c>
      <c r="E34" s="38" t="s">
        <v>50</v>
      </c>
      <c r="F34" s="18"/>
      <c r="G34" s="4"/>
      <c r="H34" s="19">
        <f>1000/D31</f>
        <v>0.2777777777777778</v>
      </c>
      <c r="I34" s="4" t="s">
        <v>25</v>
      </c>
      <c r="J34" s="17"/>
    </row>
    <row r="35" spans="4:8" ht="12.75">
      <c r="D35" s="176" t="s">
        <v>277</v>
      </c>
      <c r="E35" s="38"/>
      <c r="F35" s="18"/>
      <c r="G35" s="4"/>
      <c r="H35" s="19" t="s">
        <v>267</v>
      </c>
    </row>
    <row r="36" spans="1:11" ht="12.75">
      <c r="A36" s="16" t="s">
        <v>219</v>
      </c>
      <c r="K36" s="12"/>
    </row>
    <row r="37" spans="1:11" ht="15">
      <c r="A37" s="163" t="s">
        <v>218</v>
      </c>
      <c r="B37" s="52"/>
      <c r="K37" s="12"/>
    </row>
    <row r="38" spans="1:12" ht="14.25" customHeight="1">
      <c r="A38" s="21">
        <v>1</v>
      </c>
      <c r="B38" s="23" t="s">
        <v>160</v>
      </c>
      <c r="F38" s="5"/>
      <c r="G38" s="5"/>
      <c r="H38" s="18"/>
      <c r="K38" s="12"/>
      <c r="L38" s="17"/>
    </row>
    <row r="39" spans="1:12" ht="14.25" customHeight="1">
      <c r="A39" s="23"/>
      <c r="B39" s="126" t="s">
        <v>159</v>
      </c>
      <c r="D39" s="126"/>
      <c r="F39" s="5"/>
      <c r="G39" s="5"/>
      <c r="H39" s="18"/>
      <c r="K39" s="12"/>
      <c r="L39" s="17"/>
    </row>
    <row r="40" spans="1:3" ht="14.25" customHeight="1">
      <c r="A40" s="129"/>
      <c r="B40" s="8" t="s">
        <v>166</v>
      </c>
      <c r="C40" s="8"/>
    </row>
    <row r="41" spans="1:9" ht="14.25" customHeight="1">
      <c r="A41" s="129"/>
      <c r="B41" s="41" t="s">
        <v>63</v>
      </c>
      <c r="C41" s="37"/>
      <c r="D41" s="27" t="s">
        <v>99</v>
      </c>
      <c r="E41" s="27" t="s">
        <v>103</v>
      </c>
      <c r="F41" s="15"/>
      <c r="G41" s="27" t="s">
        <v>99</v>
      </c>
      <c r="H41" s="65" t="s">
        <v>4</v>
      </c>
      <c r="I41" s="13" t="s">
        <v>103</v>
      </c>
    </row>
    <row r="42" spans="1:14" ht="14.25" customHeight="1">
      <c r="A42" s="129"/>
      <c r="B42" s="52" t="s">
        <v>225</v>
      </c>
      <c r="C42" s="2"/>
      <c r="D42" s="91" t="s">
        <v>98</v>
      </c>
      <c r="E42">
        <v>1008</v>
      </c>
      <c r="F42" s="11"/>
      <c r="G42" s="37" t="s">
        <v>101</v>
      </c>
      <c r="H42" s="92" t="s">
        <v>104</v>
      </c>
      <c r="I42" s="51">
        <f>E42*(1+H42/100)</f>
        <v>453.59999999999997</v>
      </c>
      <c r="N42" s="11"/>
    </row>
    <row r="43" spans="1:14" ht="14.25" customHeight="1">
      <c r="A43" s="129"/>
      <c r="D43" s="91" t="s">
        <v>100</v>
      </c>
      <c r="E43" s="5">
        <v>760</v>
      </c>
      <c r="F43" s="38"/>
      <c r="G43" s="135" t="s">
        <v>102</v>
      </c>
      <c r="H43" s="57">
        <f>(I42-E43)/E43*100</f>
        <v>-40.31578947368422</v>
      </c>
      <c r="I43" s="134" t="s">
        <v>4</v>
      </c>
      <c r="N43" s="38"/>
    </row>
    <row r="44" spans="1:14" ht="14.25" customHeight="1">
      <c r="A44" s="129"/>
      <c r="C44" s="36" t="s">
        <v>161</v>
      </c>
      <c r="D44" s="118" t="s">
        <v>119</v>
      </c>
      <c r="N44" s="5"/>
    </row>
    <row r="45" spans="1:12" ht="14.25" customHeight="1">
      <c r="A45" s="129"/>
      <c r="F45" s="5"/>
      <c r="G45" s="5"/>
      <c r="H45" s="18"/>
      <c r="K45" s="12"/>
      <c r="L45" s="17"/>
    </row>
    <row r="46" spans="1:12" ht="14.25" customHeight="1">
      <c r="A46" s="23" t="s">
        <v>33</v>
      </c>
      <c r="F46" s="5"/>
      <c r="G46" s="5"/>
      <c r="H46" s="18"/>
      <c r="K46" s="12"/>
      <c r="L46" s="17"/>
    </row>
    <row r="47" spans="1:12" ht="14.25" customHeight="1">
      <c r="A47" s="21">
        <v>1</v>
      </c>
      <c r="B47" s="23" t="s">
        <v>224</v>
      </c>
      <c r="F47" s="5"/>
      <c r="G47" s="5"/>
      <c r="H47" s="18"/>
      <c r="K47" s="12"/>
      <c r="L47" s="17"/>
    </row>
    <row r="48" spans="2:12" ht="14.25" customHeight="1">
      <c r="B48" s="118" t="s">
        <v>223</v>
      </c>
      <c r="F48" s="5"/>
      <c r="G48" s="5"/>
      <c r="H48" s="18"/>
      <c r="K48" s="12"/>
      <c r="L48" s="17"/>
    </row>
    <row r="49" spans="1:12" ht="14.25" customHeight="1">
      <c r="A49" s="21"/>
      <c r="F49" s="5"/>
      <c r="G49" s="5"/>
      <c r="H49" s="18"/>
      <c r="K49" s="12"/>
      <c r="L49" s="17"/>
    </row>
    <row r="50" spans="1:12" ht="12.75">
      <c r="A50" s="21">
        <v>2</v>
      </c>
      <c r="B50" s="100" t="s">
        <v>167</v>
      </c>
      <c r="C50" s="100"/>
      <c r="H50" s="18"/>
      <c r="K50" s="12"/>
      <c r="L50" s="17"/>
    </row>
    <row r="51" spans="1:22" ht="12.75">
      <c r="A51" s="4"/>
      <c r="B51" s="41" t="s">
        <v>63</v>
      </c>
      <c r="C51" s="37"/>
      <c r="D51" s="119" t="s">
        <v>106</v>
      </c>
      <c r="E51" s="4">
        <v>891</v>
      </c>
      <c r="G51" s="44"/>
      <c r="H51" s="49"/>
      <c r="I51" s="40"/>
      <c r="J51" s="44"/>
      <c r="K51" s="44"/>
      <c r="N51" s="40"/>
      <c r="O51" s="40"/>
      <c r="P51" s="40"/>
      <c r="Q51" s="40"/>
      <c r="R51" s="40"/>
      <c r="S51" s="40"/>
      <c r="T51" s="40"/>
      <c r="U51" s="40"/>
      <c r="V51" s="40"/>
    </row>
    <row r="52" spans="1:11" ht="12.75">
      <c r="A52" s="21"/>
      <c r="B52" s="47" t="s">
        <v>57</v>
      </c>
      <c r="C52" s="47"/>
      <c r="D52" s="119" t="s">
        <v>105</v>
      </c>
      <c r="E52" s="38">
        <v>781</v>
      </c>
      <c r="F52" s="57">
        <f>E52/E51*100</f>
        <v>87.65432098765432</v>
      </c>
      <c r="G52" s="134" t="s">
        <v>34</v>
      </c>
      <c r="H52" s="4"/>
      <c r="J52" s="4"/>
      <c r="K52" s="4"/>
    </row>
    <row r="53" spans="1:11" ht="12.75">
      <c r="A53" s="21"/>
      <c r="B53" s="47"/>
      <c r="C53" s="47"/>
      <c r="D53" s="119"/>
      <c r="E53" s="38"/>
      <c r="F53" s="57"/>
      <c r="G53" s="104"/>
      <c r="H53" s="4"/>
      <c r="J53" s="4"/>
      <c r="K53" s="4"/>
    </row>
    <row r="54" spans="1:11" ht="12.75">
      <c r="A54" s="16" t="s">
        <v>165</v>
      </c>
      <c r="B54" s="47"/>
      <c r="C54" s="47"/>
      <c r="D54" s="119"/>
      <c r="E54" s="38"/>
      <c r="F54" s="57"/>
      <c r="G54" s="104"/>
      <c r="H54" s="4"/>
      <c r="J54" s="4"/>
      <c r="K54" s="4"/>
    </row>
    <row r="55" spans="1:11" ht="12.75">
      <c r="A55" s="4"/>
      <c r="B55" s="40" t="s">
        <v>63</v>
      </c>
      <c r="C55" s="4"/>
      <c r="D55" s="2"/>
      <c r="E55" s="4"/>
      <c r="F55" s="4"/>
      <c r="G55" s="4"/>
      <c r="H55" s="4"/>
      <c r="J55" s="4"/>
      <c r="K55" s="4"/>
    </row>
    <row r="56" spans="1:11" ht="12.75">
      <c r="A56" s="4"/>
      <c r="B56" s="40"/>
      <c r="C56" s="4"/>
      <c r="D56" s="2"/>
      <c r="E56" s="4"/>
      <c r="F56" s="4"/>
      <c r="G56" s="4"/>
      <c r="H56" s="4"/>
      <c r="J56" s="4"/>
      <c r="K56" s="4"/>
    </row>
    <row r="57" spans="1:11" ht="12.75">
      <c r="A57" s="21">
        <v>3</v>
      </c>
      <c r="B57" s="8" t="s">
        <v>168</v>
      </c>
      <c r="F57" s="57">
        <f>(E43-E42)/E42*100</f>
        <v>-24.6031746031746</v>
      </c>
      <c r="G57" s="57" t="s">
        <v>4</v>
      </c>
      <c r="H57" s="4"/>
      <c r="J57" s="4"/>
      <c r="K57" s="4"/>
    </row>
    <row r="58" spans="1:11" ht="12.75">
      <c r="A58" s="21"/>
      <c r="B58" s="8" t="s">
        <v>226</v>
      </c>
      <c r="F58" s="49" t="s">
        <v>234</v>
      </c>
      <c r="G58" s="57"/>
      <c r="H58" s="4"/>
      <c r="J58" s="4"/>
      <c r="K58" s="4"/>
    </row>
    <row r="59" spans="1:11" ht="12.75">
      <c r="A59" s="21"/>
      <c r="B59" s="126" t="s">
        <v>222</v>
      </c>
      <c r="F59" s="57"/>
      <c r="G59" s="57"/>
      <c r="H59" s="4"/>
      <c r="J59" s="4"/>
      <c r="K59" s="4"/>
    </row>
    <row r="60" spans="1:11" ht="12.75">
      <c r="A60" s="21"/>
      <c r="B60" s="8" t="s">
        <v>221</v>
      </c>
      <c r="F60" s="49" t="s">
        <v>234</v>
      </c>
      <c r="G60" s="57"/>
      <c r="H60" s="4"/>
      <c r="J60" s="4"/>
      <c r="K60" s="4"/>
    </row>
    <row r="61" spans="1:11" ht="12.75">
      <c r="A61" s="21"/>
      <c r="B61" s="126" t="s">
        <v>220</v>
      </c>
      <c r="K61" s="4"/>
    </row>
    <row r="62" spans="1:11" ht="12.75">
      <c r="A62" s="21"/>
      <c r="B62" s="4"/>
      <c r="K62" s="4"/>
    </row>
    <row r="63" spans="1:11" ht="12.75">
      <c r="A63" s="21"/>
      <c r="B63" s="4"/>
      <c r="G63" s="45" t="s">
        <v>255</v>
      </c>
      <c r="H63" s="4"/>
      <c r="I63" s="40" t="s">
        <v>256</v>
      </c>
      <c r="K63" s="4"/>
    </row>
    <row r="64" spans="1:11" ht="12.75">
      <c r="A64" s="21">
        <v>4</v>
      </c>
      <c r="B64" s="13" t="s">
        <v>169</v>
      </c>
      <c r="E64" s="87"/>
      <c r="F64" s="87"/>
      <c r="G64" s="21" t="s">
        <v>10</v>
      </c>
      <c r="H64" s="21" t="s">
        <v>9</v>
      </c>
      <c r="I64" s="65" t="s">
        <v>2</v>
      </c>
      <c r="K64" s="4"/>
    </row>
    <row r="65" spans="1:11" ht="12.75">
      <c r="A65" s="21"/>
      <c r="B65" s="41" t="s">
        <v>65</v>
      </c>
      <c r="C65" s="36"/>
      <c r="D65" s="115" t="s">
        <v>79</v>
      </c>
      <c r="E65" s="87"/>
      <c r="F65" s="87"/>
      <c r="G65" s="106">
        <v>665.5999999999999</v>
      </c>
      <c r="H65" s="51">
        <f>G65*$D$34</f>
        <v>2396.16</v>
      </c>
      <c r="I65" s="46">
        <f>1000*G65/$H$31</f>
        <v>75.9297284964636</v>
      </c>
      <c r="K65" s="4"/>
    </row>
    <row r="66" spans="1:11" ht="12.75">
      <c r="A66" s="21"/>
      <c r="D66" s="116" t="s">
        <v>71</v>
      </c>
      <c r="E66" s="87"/>
      <c r="F66" s="87"/>
      <c r="G66" s="4"/>
      <c r="H66" s="107">
        <f>1000*12.899941</f>
        <v>12899.941</v>
      </c>
      <c r="K66" s="4"/>
    </row>
    <row r="67" spans="1:11" ht="12.75">
      <c r="A67" s="21"/>
      <c r="D67" s="97" t="s">
        <v>76</v>
      </c>
      <c r="E67" s="87"/>
      <c r="F67" s="87"/>
      <c r="G67" s="57">
        <f>100*H65/H66</f>
        <v>18.574968676213324</v>
      </c>
      <c r="H67" s="134" t="s">
        <v>4</v>
      </c>
      <c r="I67" s="7"/>
      <c r="J67" s="4"/>
      <c r="K67" s="4"/>
    </row>
    <row r="68" spans="1:11" ht="12.75">
      <c r="A68" s="21">
        <v>5</v>
      </c>
      <c r="C68" s="10"/>
      <c r="D68" s="5"/>
      <c r="E68" s="11"/>
      <c r="G68" s="4"/>
      <c r="H68" s="7"/>
      <c r="J68" s="4"/>
      <c r="K68" s="4"/>
    </row>
    <row r="69" spans="1:11" ht="12.75">
      <c r="A69" s="16" t="s">
        <v>185</v>
      </c>
      <c r="B69" s="4"/>
      <c r="C69" s="4"/>
      <c r="D69" s="4"/>
      <c r="E69" s="4"/>
      <c r="F69" s="40" t="s">
        <v>230</v>
      </c>
      <c r="G69" s="4"/>
      <c r="H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J70" s="4"/>
      <c r="K70" s="4"/>
    </row>
    <row r="71" spans="2:11" ht="12.75">
      <c r="B71" s="13" t="s">
        <v>113</v>
      </c>
      <c r="C71" s="41"/>
      <c r="G71" s="21" t="s">
        <v>9</v>
      </c>
      <c r="I71" s="21" t="s">
        <v>4</v>
      </c>
      <c r="J71" s="41" t="s">
        <v>229</v>
      </c>
      <c r="K71" s="55"/>
    </row>
    <row r="72" spans="1:11" ht="12.75">
      <c r="A72" s="21"/>
      <c r="B72" s="125" t="s">
        <v>62</v>
      </c>
      <c r="C72" s="37"/>
      <c r="D72" s="101" t="s">
        <v>35</v>
      </c>
      <c r="E72" s="10"/>
      <c r="G72" s="144">
        <v>4395</v>
      </c>
      <c r="I72" s="148">
        <v>34.06992326554052</v>
      </c>
      <c r="J72" s="41" t="s">
        <v>228</v>
      </c>
      <c r="K72" s="4"/>
    </row>
    <row r="73" spans="1:11" ht="12.75">
      <c r="A73" s="21"/>
      <c r="B73" s="4"/>
      <c r="C73" s="4"/>
      <c r="D73" s="101" t="s">
        <v>36</v>
      </c>
      <c r="E73" s="13"/>
      <c r="G73" s="144">
        <v>1301</v>
      </c>
      <c r="I73" s="146">
        <v>10.085317444475134</v>
      </c>
      <c r="J73" s="4"/>
      <c r="K73" s="4"/>
    </row>
    <row r="74" spans="1:11" ht="12.75">
      <c r="A74" s="21"/>
      <c r="B74" s="4"/>
      <c r="C74" s="4"/>
      <c r="D74" s="101" t="s">
        <v>37</v>
      </c>
      <c r="E74" s="10"/>
      <c r="G74" s="144">
        <v>1479</v>
      </c>
      <c r="I74" s="146">
        <v>11.465168716663124</v>
      </c>
      <c r="J74" s="4"/>
      <c r="K74" s="4"/>
    </row>
    <row r="75" spans="1:11" ht="12.75">
      <c r="A75" s="21"/>
      <c r="B75" s="4"/>
      <c r="C75" s="4"/>
      <c r="D75" s="101" t="s">
        <v>38</v>
      </c>
      <c r="E75" s="10"/>
      <c r="G75" s="145">
        <v>3034</v>
      </c>
      <c r="I75" s="146">
        <v>23.519487414709882</v>
      </c>
      <c r="J75" s="4"/>
      <c r="K75" s="4"/>
    </row>
    <row r="76" spans="1:11" ht="15">
      <c r="A76" s="21"/>
      <c r="D76" s="54" t="s">
        <v>128</v>
      </c>
      <c r="G76" s="143">
        <v>233</v>
      </c>
      <c r="I76" s="146">
        <v>1.8062098113471994</v>
      </c>
      <c r="J76" s="99" t="s">
        <v>140</v>
      </c>
      <c r="K76" s="4"/>
    </row>
    <row r="77" spans="1:11" ht="12.75">
      <c r="A77" s="21"/>
      <c r="D77" s="41" t="s">
        <v>120</v>
      </c>
      <c r="G77" s="122">
        <f>SUM(G72:G76)</f>
        <v>10442</v>
      </c>
      <c r="I77" s="147">
        <f>SUM(I72:I76)</f>
        <v>80.94610665273585</v>
      </c>
      <c r="J77" s="40" t="s">
        <v>141</v>
      </c>
      <c r="K77" s="4"/>
    </row>
    <row r="78" spans="1:12" ht="12.75">
      <c r="A78" s="4"/>
      <c r="B78" s="4"/>
      <c r="C78" s="16"/>
      <c r="D78" s="54"/>
      <c r="E78" s="121" t="s">
        <v>129</v>
      </c>
      <c r="F78" s="4"/>
      <c r="G78" s="53"/>
      <c r="H78" s="4"/>
      <c r="I78" s="123"/>
      <c r="J78" s="53"/>
      <c r="K78" s="53"/>
      <c r="L78" s="53"/>
    </row>
    <row r="79" spans="1:11" ht="12.75">
      <c r="A79" s="21"/>
      <c r="B79" s="13" t="s">
        <v>114</v>
      </c>
      <c r="C79" s="13"/>
      <c r="F79" s="4"/>
      <c r="G79" s="21" t="s">
        <v>9</v>
      </c>
      <c r="H79" s="4"/>
      <c r="I79" s="21" t="s">
        <v>4</v>
      </c>
      <c r="J79" s="4"/>
      <c r="K79" s="4"/>
    </row>
    <row r="80" spans="1:11" ht="12.75">
      <c r="A80" s="21"/>
      <c r="B80" s="41" t="s">
        <v>68</v>
      </c>
      <c r="C80" s="41"/>
      <c r="D80" s="61" t="s">
        <v>123</v>
      </c>
      <c r="E80" s="105"/>
      <c r="F80" s="4"/>
      <c r="G80" s="170">
        <v>60.879</v>
      </c>
      <c r="H80" s="4"/>
      <c r="I80" s="149">
        <f>60.879*100/$K$89</f>
        <v>0.4654075151433302</v>
      </c>
      <c r="J80" s="4"/>
      <c r="K80" s="4"/>
    </row>
    <row r="81" spans="1:11" ht="12.75">
      <c r="A81" s="21"/>
      <c r="B81" s="41"/>
      <c r="C81" s="41"/>
      <c r="D81" s="61" t="s">
        <v>124</v>
      </c>
      <c r="E81" s="105"/>
      <c r="F81" s="4"/>
      <c r="G81" s="170">
        <v>407.70799999999997</v>
      </c>
      <c r="H81" s="4"/>
      <c r="I81" s="149">
        <f>407.708*100/$K$89</f>
        <v>3.1168443500066836</v>
      </c>
      <c r="J81" s="4"/>
      <c r="K81" s="4"/>
    </row>
    <row r="82" spans="1:11" ht="12.75">
      <c r="A82" s="21"/>
      <c r="B82" s="41"/>
      <c r="C82" s="41"/>
      <c r="D82" s="61" t="s">
        <v>125</v>
      </c>
      <c r="E82" s="105"/>
      <c r="F82" s="4"/>
      <c r="G82" s="171">
        <v>166.676</v>
      </c>
      <c r="H82" s="4"/>
      <c r="I82" s="149">
        <f>166.676*100/$K$89</f>
        <v>1.2742039618592569</v>
      </c>
      <c r="J82" s="4"/>
      <c r="K82" s="4"/>
    </row>
    <row r="83" spans="1:11" ht="12.75">
      <c r="A83" s="21"/>
      <c r="B83" s="41"/>
      <c r="C83" s="41"/>
      <c r="D83" s="61" t="s">
        <v>46</v>
      </c>
      <c r="E83" s="105"/>
      <c r="F83" s="4"/>
      <c r="G83" s="170">
        <v>491.894</v>
      </c>
      <c r="H83" s="4"/>
      <c r="I83" s="149">
        <f>491.894*100/$K$89</f>
        <v>3.7604291176581954</v>
      </c>
      <c r="J83" s="40" t="s">
        <v>187</v>
      </c>
      <c r="K83" s="4"/>
    </row>
    <row r="84" spans="1:12" ht="12.75">
      <c r="A84" s="21"/>
      <c r="B84" s="41"/>
      <c r="C84" s="41"/>
      <c r="D84" s="61" t="s">
        <v>47</v>
      </c>
      <c r="E84" s="105"/>
      <c r="F84" s="4"/>
      <c r="G84" s="170">
        <v>127.48899999999999</v>
      </c>
      <c r="H84" s="4"/>
      <c r="I84" s="149">
        <f>127.489*100/$K$89</f>
        <v>0.974627354229012</v>
      </c>
      <c r="K84" s="55" t="s">
        <v>9</v>
      </c>
      <c r="L84" s="55" t="s">
        <v>4</v>
      </c>
    </row>
    <row r="85" spans="1:12" ht="12.75">
      <c r="A85" s="21"/>
      <c r="B85" s="41"/>
      <c r="C85" s="41"/>
      <c r="D85" s="61" t="s">
        <v>48</v>
      </c>
      <c r="E85" s="105"/>
      <c r="F85" s="4"/>
      <c r="G85" s="170">
        <v>120.91999999999999</v>
      </c>
      <c r="H85" s="4"/>
      <c r="I85" s="149">
        <f>120.92*100/$K$89</f>
        <v>0.9244086915214029</v>
      </c>
      <c r="K85" s="51">
        <f>SUM(G83:G87)</f>
        <v>1173.5313617436566</v>
      </c>
      <c r="L85" s="124">
        <f>SUM(I83:I87)</f>
        <v>8.97140746418114</v>
      </c>
    </row>
    <row r="86" spans="1:11" ht="12.75">
      <c r="A86" s="21"/>
      <c r="B86" s="41"/>
      <c r="C86" s="41"/>
      <c r="D86" s="61" t="s">
        <v>49</v>
      </c>
      <c r="E86" s="105"/>
      <c r="F86" s="4"/>
      <c r="G86" s="170">
        <v>341.03</v>
      </c>
      <c r="H86" s="4"/>
      <c r="I86" s="149">
        <f>341.03*100/$K$89</f>
        <v>2.607104664815945</v>
      </c>
      <c r="J86" s="4"/>
      <c r="K86" s="4"/>
    </row>
    <row r="87" spans="1:11" ht="15">
      <c r="A87" s="21"/>
      <c r="B87" s="41"/>
      <c r="C87" s="41"/>
      <c r="D87" s="61" t="s">
        <v>126</v>
      </c>
      <c r="E87" s="105"/>
      <c r="F87" s="4"/>
      <c r="G87" s="170">
        <v>92.19836174365645</v>
      </c>
      <c r="H87" s="4"/>
      <c r="I87" s="149">
        <f>92.1983617436564*100/$K$89</f>
        <v>0.7048376359565861</v>
      </c>
      <c r="J87" s="4"/>
      <c r="K87" s="4"/>
    </row>
    <row r="88" spans="1:11" ht="12.75">
      <c r="A88" s="21"/>
      <c r="B88" s="41"/>
      <c r="C88" s="41"/>
      <c r="D88" s="101" t="s">
        <v>39</v>
      </c>
      <c r="E88" s="4"/>
      <c r="F88" s="4"/>
      <c r="G88" s="172">
        <v>830</v>
      </c>
      <c r="H88" s="4"/>
      <c r="I88" s="150">
        <v>6.43413795458444</v>
      </c>
      <c r="J88" s="41" t="s">
        <v>122</v>
      </c>
      <c r="K88" s="4"/>
    </row>
    <row r="89" spans="1:12" ht="12.75">
      <c r="A89" s="21"/>
      <c r="B89" s="41"/>
      <c r="C89" s="41"/>
      <c r="D89" s="41" t="s">
        <v>121</v>
      </c>
      <c r="F89" s="4"/>
      <c r="G89" s="122">
        <f>SUM(G80:G88)</f>
        <v>2638.7943617436567</v>
      </c>
      <c r="H89" s="4"/>
      <c r="I89" s="56">
        <f>SUM(I80:I88)</f>
        <v>20.26200124577485</v>
      </c>
      <c r="J89" s="4"/>
      <c r="K89" s="51">
        <f>G77+G89</f>
        <v>13080.794361743658</v>
      </c>
      <c r="L89" s="40" t="s">
        <v>9</v>
      </c>
    </row>
    <row r="90" spans="1:11" ht="12.75">
      <c r="A90" s="21"/>
      <c r="B90" s="41"/>
      <c r="C90" s="41"/>
      <c r="D90" s="41"/>
      <c r="E90" s="120" t="s">
        <v>127</v>
      </c>
      <c r="F90" s="4"/>
      <c r="G90" s="4"/>
      <c r="H90" s="56"/>
      <c r="J90" s="111"/>
      <c r="K90" s="55"/>
    </row>
    <row r="91" spans="1:11" ht="12.75">
      <c r="A91" s="21"/>
      <c r="B91" s="41"/>
      <c r="C91" s="41"/>
      <c r="D91" s="41"/>
      <c r="E91" s="120"/>
      <c r="F91" s="4"/>
      <c r="G91" s="4"/>
      <c r="H91" s="56"/>
      <c r="J91" s="111"/>
      <c r="K91" s="55"/>
    </row>
    <row r="92" spans="1:11" ht="12.75">
      <c r="A92" s="21">
        <v>6</v>
      </c>
      <c r="B92" s="13" t="s">
        <v>213</v>
      </c>
      <c r="C92" s="41"/>
      <c r="D92" s="61"/>
      <c r="E92" s="105"/>
      <c r="F92" s="4"/>
      <c r="G92" s="156">
        <v>2018</v>
      </c>
      <c r="H92" s="23"/>
      <c r="I92" s="23"/>
      <c r="J92" s="23">
        <v>2009</v>
      </c>
      <c r="K92" s="55"/>
    </row>
    <row r="93" spans="2:11" ht="12.75">
      <c r="B93" s="41"/>
      <c r="C93" s="41"/>
      <c r="D93" s="61"/>
      <c r="E93" s="105"/>
      <c r="F93" s="4"/>
      <c r="G93" s="21" t="s">
        <v>9</v>
      </c>
      <c r="H93" s="21" t="s">
        <v>4</v>
      </c>
      <c r="I93" s="7"/>
      <c r="J93" s="21" t="s">
        <v>9</v>
      </c>
      <c r="K93" s="21" t="s">
        <v>4</v>
      </c>
    </row>
    <row r="94" spans="2:11" ht="12.75">
      <c r="B94" s="41" t="s">
        <v>62</v>
      </c>
      <c r="C94" s="52"/>
      <c r="D94" s="101" t="s">
        <v>39</v>
      </c>
      <c r="E94" s="105"/>
      <c r="F94" s="4"/>
      <c r="G94" s="161">
        <v>830</v>
      </c>
      <c r="H94" s="162">
        <v>6.434137954584444</v>
      </c>
      <c r="I94" s="7"/>
      <c r="J94" s="161">
        <v>1471.974</v>
      </c>
      <c r="K94" s="162">
        <v>10.87863856266365</v>
      </c>
    </row>
    <row r="95" spans="4:11" ht="12.75">
      <c r="D95" s="101" t="s">
        <v>40</v>
      </c>
      <c r="E95" s="105"/>
      <c r="F95" s="4"/>
      <c r="G95" s="161">
        <v>635.2629999999999</v>
      </c>
      <c r="H95" s="162">
        <v>4.924541902943587</v>
      </c>
      <c r="I95" s="7"/>
      <c r="J95" s="161">
        <v>231.39359999999996</v>
      </c>
      <c r="K95" s="162">
        <v>1.7101167140951994</v>
      </c>
    </row>
    <row r="96" spans="4:11" ht="12.75">
      <c r="D96" s="101" t="s">
        <v>41</v>
      </c>
      <c r="E96" s="105"/>
      <c r="F96" s="4"/>
      <c r="G96" s="161">
        <v>1172.6780000000003</v>
      </c>
      <c r="H96" s="162">
        <v>9.090568708802625</v>
      </c>
      <c r="I96" s="7"/>
      <c r="J96" s="161">
        <v>969.6384381102191</v>
      </c>
      <c r="K96" s="162">
        <v>7.166122570552727</v>
      </c>
    </row>
    <row r="97" spans="1:12" ht="12.75">
      <c r="A97" s="21"/>
      <c r="B97" s="4"/>
      <c r="C97" s="4"/>
      <c r="D97" s="4"/>
      <c r="E97" s="4"/>
      <c r="F97" s="4"/>
      <c r="G97" s="164">
        <f>SUM(G94:G96)</f>
        <v>2637.9410000000003</v>
      </c>
      <c r="H97" s="58">
        <f>SUM(H94:H96)</f>
        <v>20.449248566330656</v>
      </c>
      <c r="I97" s="57" t="s">
        <v>4</v>
      </c>
      <c r="J97" s="164">
        <f>SUM(J94:J96)</f>
        <v>2673.006038110219</v>
      </c>
      <c r="K97" s="58">
        <f>SUM(K94:K96)</f>
        <v>19.754877847311576</v>
      </c>
      <c r="L97" s="57" t="s">
        <v>4</v>
      </c>
    </row>
    <row r="98" spans="1:10" ht="12.75">
      <c r="A98" s="21"/>
      <c r="B98" s="13" t="s">
        <v>214</v>
      </c>
      <c r="E98" s="131">
        <f>(G97-J97)/J97*100</f>
        <v>-1.311820385374408</v>
      </c>
      <c r="F98" s="134" t="s">
        <v>4</v>
      </c>
      <c r="G98" s="4"/>
      <c r="H98" s="4"/>
      <c r="J98" s="55"/>
    </row>
    <row r="99" spans="1:11" ht="12.75">
      <c r="A99" s="21">
        <v>7</v>
      </c>
      <c r="B99" s="13" t="s">
        <v>231</v>
      </c>
      <c r="C99" s="41"/>
      <c r="D99" s="41"/>
      <c r="E99" s="120"/>
      <c r="F99" s="4"/>
      <c r="G99" s="4"/>
      <c r="H99" s="56"/>
      <c r="J99" s="111"/>
      <c r="K99" s="55"/>
    </row>
    <row r="100" spans="2:13" ht="12.75">
      <c r="B100" s="126" t="s">
        <v>177</v>
      </c>
      <c r="M100" s="53"/>
    </row>
    <row r="101" spans="2:13" ht="12.75">
      <c r="B101" s="13" t="s">
        <v>232</v>
      </c>
      <c r="M101" s="53"/>
    </row>
    <row r="102" spans="2:13" ht="12.75">
      <c r="B102" s="126" t="s">
        <v>178</v>
      </c>
      <c r="M102" s="53"/>
    </row>
    <row r="103" spans="1:17" ht="12.75">
      <c r="A103" s="21"/>
      <c r="D103" s="4"/>
      <c r="F103" s="4"/>
      <c r="G103" s="51"/>
      <c r="H103" s="56"/>
      <c r="J103" s="58"/>
      <c r="K103" s="4"/>
      <c r="O103" s="51"/>
      <c r="Q103" s="57"/>
    </row>
    <row r="104" spans="1:17" ht="12.75">
      <c r="A104" s="21">
        <v>8</v>
      </c>
      <c r="B104" s="13" t="s">
        <v>233</v>
      </c>
      <c r="C104" s="13"/>
      <c r="E104" s="40"/>
      <c r="F104" s="4"/>
      <c r="G104" s="90" t="s">
        <v>4</v>
      </c>
      <c r="H104" s="48" t="s">
        <v>139</v>
      </c>
      <c r="J104" s="4"/>
      <c r="K104" s="4"/>
      <c r="O104" s="51"/>
      <c r="Q104" s="57"/>
    </row>
    <row r="105" spans="1:17" ht="12.75">
      <c r="A105" s="21"/>
      <c r="B105" s="41" t="s">
        <v>61</v>
      </c>
      <c r="C105" s="52"/>
      <c r="D105" s="60" t="s">
        <v>51</v>
      </c>
      <c r="E105" s="87"/>
      <c r="F105" s="4"/>
      <c r="G105" s="88">
        <v>27.123801705745855</v>
      </c>
      <c r="H105" s="4"/>
      <c r="J105" s="4"/>
      <c r="K105" s="4"/>
      <c r="O105" s="51"/>
      <c r="Q105" s="57"/>
    </row>
    <row r="106" spans="1:17" ht="12.75">
      <c r="A106" s="21"/>
      <c r="B106" s="47" t="s">
        <v>57</v>
      </c>
      <c r="C106" s="47"/>
      <c r="D106" s="60" t="s">
        <v>52</v>
      </c>
      <c r="E106" s="87"/>
      <c r="F106" s="4"/>
      <c r="G106" s="88">
        <v>4.8922502960130165</v>
      </c>
      <c r="J106" s="4"/>
      <c r="K106" s="4"/>
      <c r="O106" s="51"/>
      <c r="Q106" s="57"/>
    </row>
    <row r="107" spans="1:17" ht="12.75">
      <c r="A107" s="21"/>
      <c r="D107" s="60" t="s">
        <v>54</v>
      </c>
      <c r="E107" s="87"/>
      <c r="F107" s="4"/>
      <c r="G107" s="88">
        <v>0.418424432547773</v>
      </c>
      <c r="H107" s="59">
        <f>G105+G106+G107</f>
        <v>32.434476434306646</v>
      </c>
      <c r="I107" s="40" t="s">
        <v>133</v>
      </c>
      <c r="J107" s="4"/>
      <c r="K107" s="4"/>
      <c r="O107" s="51"/>
      <c r="Q107" s="57"/>
    </row>
    <row r="108" spans="1:11" ht="12.75">
      <c r="A108" s="21"/>
      <c r="D108" s="60" t="s">
        <v>53</v>
      </c>
      <c r="E108" s="87"/>
      <c r="F108" s="4"/>
      <c r="G108" s="88">
        <v>22.073082625473617</v>
      </c>
      <c r="H108" s="4"/>
      <c r="J108" s="4"/>
      <c r="K108" s="4"/>
    </row>
    <row r="109" spans="1:11" ht="12.75">
      <c r="A109" s="21"/>
      <c r="D109" s="60" t="s">
        <v>55</v>
      </c>
      <c r="E109" s="87"/>
      <c r="F109" s="4"/>
      <c r="G109" s="88">
        <v>2.0287778752741006</v>
      </c>
      <c r="H109" s="59">
        <f>G108+G109</f>
        <v>24.10186050074772</v>
      </c>
      <c r="I109" s="40" t="s">
        <v>134</v>
      </c>
      <c r="J109" s="4"/>
      <c r="K109" s="4"/>
    </row>
    <row r="110" spans="1:11" ht="12.75">
      <c r="A110" s="21"/>
      <c r="D110" s="60" t="s">
        <v>32</v>
      </c>
      <c r="E110" s="87"/>
      <c r="F110" s="4"/>
      <c r="G110" s="89">
        <v>38.4812212659689</v>
      </c>
      <c r="H110" s="59">
        <f>G110</f>
        <v>38.4812212659689</v>
      </c>
      <c r="I110" s="40" t="s">
        <v>135</v>
      </c>
      <c r="J110" s="4"/>
      <c r="K110" s="4"/>
    </row>
    <row r="111" spans="1:11" ht="12.75">
      <c r="A111" s="21"/>
      <c r="D111" s="60" t="s">
        <v>56</v>
      </c>
      <c r="E111" s="87"/>
      <c r="F111" s="4"/>
      <c r="G111" s="88">
        <v>2.2551074150454284</v>
      </c>
      <c r="H111" s="4"/>
      <c r="J111" s="4"/>
      <c r="K111" s="4"/>
    </row>
    <row r="112" spans="1:11" ht="12.75">
      <c r="A112" s="21"/>
      <c r="D112" s="60" t="s">
        <v>136</v>
      </c>
      <c r="E112" s="87"/>
      <c r="F112" s="4"/>
      <c r="G112" s="88">
        <v>2.7273343839313378</v>
      </c>
      <c r="H112" s="59">
        <f>G111+G112</f>
        <v>4.982441798976766</v>
      </c>
      <c r="I112" s="40" t="s">
        <v>137</v>
      </c>
      <c r="J112" s="4"/>
      <c r="K112" s="4"/>
    </row>
    <row r="113" spans="1:11" ht="12.75">
      <c r="A113" s="4"/>
      <c r="D113" s="60"/>
      <c r="E113" s="40"/>
      <c r="F113" s="37" t="s">
        <v>58</v>
      </c>
      <c r="G113" s="56">
        <f>SUM(G105:G112)</f>
        <v>100.00000000000003</v>
      </c>
      <c r="H113" s="56">
        <f>H107+H109+G110+H112</f>
        <v>100.00000000000003</v>
      </c>
      <c r="I113" s="104" t="s">
        <v>4</v>
      </c>
      <c r="J113" s="4"/>
      <c r="K113" s="4"/>
    </row>
    <row r="114" spans="1:11" ht="12.75">
      <c r="A114" s="21"/>
      <c r="D114" s="60"/>
      <c r="E114" s="40"/>
      <c r="F114" s="4"/>
      <c r="G114" s="4"/>
      <c r="H114" s="4"/>
      <c r="J114" s="4"/>
      <c r="K114" s="4"/>
    </row>
    <row r="115" spans="1:11" ht="15">
      <c r="A115" s="62" t="s">
        <v>59</v>
      </c>
      <c r="D115" s="60"/>
      <c r="E115" s="40"/>
      <c r="F115" s="4"/>
      <c r="G115" s="4"/>
      <c r="H115" s="4"/>
      <c r="J115" s="4"/>
      <c r="K115" s="4"/>
    </row>
    <row r="116" spans="1:11" ht="12.75">
      <c r="A116" s="21">
        <v>1</v>
      </c>
      <c r="B116" s="16" t="s">
        <v>198</v>
      </c>
      <c r="C116" s="4"/>
      <c r="D116" s="4"/>
      <c r="E116" s="4"/>
      <c r="F116" s="4"/>
      <c r="G116" s="21"/>
      <c r="H116" s="4"/>
      <c r="J116" s="4"/>
      <c r="K116" s="4"/>
    </row>
    <row r="117" spans="1:11" ht="12.75">
      <c r="A117" s="21"/>
      <c r="B117" s="4"/>
      <c r="C117" s="4"/>
      <c r="D117" s="4"/>
      <c r="E117" s="4"/>
      <c r="F117" s="37" t="s">
        <v>192</v>
      </c>
      <c r="G117" s="9">
        <v>1000</v>
      </c>
      <c r="H117" s="4"/>
      <c r="J117" s="4"/>
      <c r="K117" s="4"/>
    </row>
    <row r="118" spans="1:11" ht="12.75">
      <c r="A118" s="21"/>
      <c r="B118" s="49" t="s">
        <v>246</v>
      </c>
      <c r="C118" s="83" t="s">
        <v>197</v>
      </c>
      <c r="D118" s="4"/>
      <c r="E118" s="4"/>
      <c r="F118" s="37"/>
      <c r="G118" s="9"/>
      <c r="H118" s="4"/>
      <c r="I118" s="83"/>
      <c r="J118" s="4"/>
      <c r="K118" s="4"/>
    </row>
    <row r="119" spans="1:11" ht="12.75">
      <c r="A119" s="21"/>
      <c r="B119" s="125" t="s">
        <v>60</v>
      </c>
      <c r="C119" s="52"/>
      <c r="D119" s="113" t="s">
        <v>259</v>
      </c>
      <c r="E119" s="114"/>
      <c r="F119" s="87"/>
      <c r="G119" s="158">
        <v>41.3</v>
      </c>
      <c r="H119" s="23" t="s">
        <v>149</v>
      </c>
      <c r="J119" s="4"/>
      <c r="K119" s="4"/>
    </row>
    <row r="120" spans="1:11" ht="12.75">
      <c r="A120" s="21"/>
      <c r="B120" s="41" t="s">
        <v>66</v>
      </c>
      <c r="C120" s="36"/>
      <c r="D120" s="113" t="s">
        <v>260</v>
      </c>
      <c r="E120" s="87"/>
      <c r="F120" s="87"/>
      <c r="G120" s="136">
        <v>29231</v>
      </c>
      <c r="H120" s="104"/>
      <c r="J120" s="4"/>
      <c r="K120" s="4"/>
    </row>
    <row r="121" spans="1:11" ht="12.75">
      <c r="A121" s="21"/>
      <c r="B121" s="37" t="s">
        <v>186</v>
      </c>
      <c r="C121" s="118" t="s">
        <v>179</v>
      </c>
      <c r="D121" s="113"/>
      <c r="E121" s="87"/>
      <c r="F121" s="87"/>
      <c r="G121" s="136"/>
      <c r="H121" s="104"/>
      <c r="I121" s="40"/>
      <c r="J121" s="4"/>
      <c r="K121" s="4"/>
    </row>
    <row r="122" spans="1:11" ht="12.75">
      <c r="A122" s="21"/>
      <c r="C122" s="4"/>
      <c r="D122" s="157" t="s">
        <v>207</v>
      </c>
      <c r="G122" s="57">
        <f>G120/1000</f>
        <v>29.231</v>
      </c>
      <c r="H122" s="134" t="s">
        <v>149</v>
      </c>
      <c r="J122" s="4"/>
      <c r="K122" s="4"/>
    </row>
    <row r="123" spans="1:11" ht="12.75">
      <c r="A123" s="21"/>
      <c r="B123" s="4"/>
      <c r="C123" s="4"/>
      <c r="D123" s="4"/>
      <c r="E123" s="4"/>
      <c r="F123" s="4"/>
      <c r="G123" s="4"/>
      <c r="H123" s="4"/>
      <c r="J123" s="4"/>
      <c r="K123" s="4"/>
    </row>
    <row r="124" spans="1:11" ht="12.75">
      <c r="A124" s="21">
        <v>2</v>
      </c>
      <c r="B124" s="23" t="s">
        <v>193</v>
      </c>
      <c r="D124" s="97"/>
      <c r="E124" s="87"/>
      <c r="F124" s="87"/>
      <c r="G124" s="21" t="s">
        <v>10</v>
      </c>
      <c r="H124" s="21" t="s">
        <v>9</v>
      </c>
      <c r="I124" s="21"/>
      <c r="J124" s="4"/>
      <c r="K124" s="65"/>
    </row>
    <row r="125" spans="1:11" ht="12.75">
      <c r="A125" s="21"/>
      <c r="B125" s="41" t="s">
        <v>64</v>
      </c>
      <c r="D125" s="117" t="s">
        <v>183</v>
      </c>
      <c r="E125" s="87"/>
      <c r="F125" s="87"/>
      <c r="G125" s="142"/>
      <c r="H125" s="154">
        <v>1871</v>
      </c>
      <c r="I125" s="7"/>
      <c r="J125" s="4"/>
      <c r="K125" s="4"/>
    </row>
    <row r="126" spans="1:10" ht="15">
      <c r="A126" s="21"/>
      <c r="B126" s="43" t="s">
        <v>57</v>
      </c>
      <c r="D126" s="87" t="s">
        <v>184</v>
      </c>
      <c r="E126" s="103"/>
      <c r="F126" s="71"/>
      <c r="H126" s="4"/>
      <c r="I126" s="98">
        <f>100*H125/$H$65</f>
        <v>78.08326655982907</v>
      </c>
      <c r="J126" s="104" t="s">
        <v>4</v>
      </c>
    </row>
    <row r="127" spans="1:9" ht="12.75">
      <c r="A127" s="21"/>
      <c r="C127" s="4"/>
      <c r="D127" s="117" t="s">
        <v>188</v>
      </c>
      <c r="H127" s="51">
        <f>H125/I126*100</f>
        <v>2396.16</v>
      </c>
      <c r="I127" s="7"/>
    </row>
    <row r="128" spans="1:10" ht="12.75">
      <c r="A128" s="21"/>
      <c r="B128" s="138"/>
      <c r="C128" s="4"/>
      <c r="F128" s="36" t="s">
        <v>189</v>
      </c>
      <c r="H128" s="114"/>
      <c r="I128" s="57">
        <f>H127/K89*100</f>
        <v>18.31815357489187</v>
      </c>
      <c r="J128" s="134" t="s">
        <v>4</v>
      </c>
    </row>
    <row r="129" spans="1:10" ht="12.75">
      <c r="A129" s="21"/>
      <c r="B129" s="41" t="s">
        <v>130</v>
      </c>
      <c r="C129" s="52"/>
      <c r="D129" s="117" t="s">
        <v>182</v>
      </c>
      <c r="E129" s="87"/>
      <c r="F129" s="87"/>
      <c r="G129" s="151">
        <v>132</v>
      </c>
      <c r="H129" s="51"/>
      <c r="I129" s="7"/>
      <c r="J129" s="4"/>
    </row>
    <row r="130" spans="1:10" ht="12.75">
      <c r="A130" s="21"/>
      <c r="B130" s="41"/>
      <c r="C130" s="52"/>
      <c r="D130" s="117" t="s">
        <v>190</v>
      </c>
      <c r="E130" s="87"/>
      <c r="F130" s="87"/>
      <c r="G130" s="46">
        <f>G129/(I126/100)</f>
        <v>169.0503046499198</v>
      </c>
      <c r="H130" s="51">
        <f>G130*$D$34</f>
        <v>608.5810967397114</v>
      </c>
      <c r="I130" s="7"/>
      <c r="J130" s="4"/>
    </row>
    <row r="131" spans="1:10" ht="12.75">
      <c r="A131" s="21"/>
      <c r="D131" s="4"/>
      <c r="E131" s="87"/>
      <c r="F131" s="141" t="s">
        <v>191</v>
      </c>
      <c r="G131" s="40"/>
      <c r="H131" s="40"/>
      <c r="I131" s="57">
        <f>100*H130/H127</f>
        <v>25.398182789951896</v>
      </c>
      <c r="J131" s="134" t="s">
        <v>4</v>
      </c>
    </row>
    <row r="132" spans="1:11" ht="12.75">
      <c r="A132" s="21"/>
      <c r="B132" s="139" t="s">
        <v>176</v>
      </c>
      <c r="C132" s="4"/>
      <c r="E132" s="57">
        <f>G67/100*I131/0.8</f>
        <v>5.897130621951209</v>
      </c>
      <c r="F132" s="137" t="s">
        <v>4</v>
      </c>
      <c r="H132" s="40"/>
      <c r="J132" s="4"/>
      <c r="K132" s="4"/>
    </row>
    <row r="133" spans="1:11" ht="12.75">
      <c r="A133" s="21"/>
      <c r="D133" s="60"/>
      <c r="E133" s="40"/>
      <c r="F133" s="4"/>
      <c r="G133" s="4"/>
      <c r="H133" s="4"/>
      <c r="J133" s="4"/>
      <c r="K133" s="4"/>
    </row>
    <row r="134" spans="1:11" ht="12.75">
      <c r="A134" s="21">
        <v>3</v>
      </c>
      <c r="B134" s="13" t="s">
        <v>77</v>
      </c>
      <c r="C134" s="13"/>
      <c r="D134" s="140"/>
      <c r="E134" s="40"/>
      <c r="F134" s="4"/>
      <c r="G134" s="40"/>
      <c r="H134" s="40"/>
      <c r="J134" s="4"/>
      <c r="K134" s="4"/>
    </row>
    <row r="135" spans="1:10" ht="12.75">
      <c r="A135" s="21"/>
      <c r="B135" s="41" t="s">
        <v>69</v>
      </c>
      <c r="C135" s="52"/>
      <c r="E135" s="40"/>
      <c r="F135" s="4"/>
      <c r="G135" s="40"/>
      <c r="H135" s="44"/>
      <c r="I135" s="43"/>
      <c r="J135" s="4"/>
    </row>
    <row r="136" spans="1:11" ht="12.75">
      <c r="A136" s="21"/>
      <c r="C136" s="60"/>
      <c r="D136" s="40"/>
      <c r="E136" s="4"/>
      <c r="F136" s="159" t="s">
        <v>202</v>
      </c>
      <c r="G136" s="21" t="s">
        <v>10</v>
      </c>
      <c r="H136" s="21" t="s">
        <v>9</v>
      </c>
      <c r="I136" s="65" t="s">
        <v>2</v>
      </c>
      <c r="J136" s="4"/>
      <c r="K136" s="4"/>
    </row>
    <row r="137" spans="1:11" ht="12.75">
      <c r="A137" s="21"/>
      <c r="C137" s="60"/>
      <c r="D137" s="40"/>
      <c r="E137" s="108" t="s">
        <v>72</v>
      </c>
      <c r="F137" s="109"/>
      <c r="G137" s="40"/>
      <c r="H137" s="4"/>
      <c r="I137" s="152">
        <v>55.718</v>
      </c>
      <c r="J137" s="4"/>
      <c r="K137" s="4"/>
    </row>
    <row r="138" spans="1:11" ht="12.75">
      <c r="A138" s="27"/>
      <c r="B138" s="13"/>
      <c r="C138" s="10"/>
      <c r="D138" s="5"/>
      <c r="E138" s="108" t="s">
        <v>73</v>
      </c>
      <c r="F138" s="109"/>
      <c r="G138" s="40"/>
      <c r="H138" s="44"/>
      <c r="I138" s="152">
        <v>42.339</v>
      </c>
      <c r="J138" s="4"/>
      <c r="K138" s="4"/>
    </row>
    <row r="139" spans="1:14" ht="12.75">
      <c r="A139" s="37"/>
      <c r="C139" s="10"/>
      <c r="D139" s="37" t="s">
        <v>70</v>
      </c>
      <c r="E139" s="112" t="s">
        <v>74</v>
      </c>
      <c r="F139" s="109"/>
      <c r="G139" s="153">
        <v>113.30000000000001</v>
      </c>
      <c r="H139" s="51">
        <f>G139*$D$34</f>
        <v>407.88000000000005</v>
      </c>
      <c r="I139" s="46">
        <f>1000*G139/$H$31</f>
        <v>12.92493725758613</v>
      </c>
      <c r="J139" s="4"/>
      <c r="K139" s="4"/>
      <c r="L139" s="11"/>
      <c r="N139" s="7"/>
    </row>
    <row r="140" spans="1:14" ht="12.75">
      <c r="A140" s="37"/>
      <c r="B140" s="21"/>
      <c r="C140" s="10"/>
      <c r="D140" s="37"/>
      <c r="E140" s="108" t="s">
        <v>73</v>
      </c>
      <c r="F140" s="109"/>
      <c r="G140" s="153">
        <v>46.3</v>
      </c>
      <c r="H140" s="7"/>
      <c r="I140" s="46">
        <f>1000*G140/$H$31</f>
        <v>5.281770476842345</v>
      </c>
      <c r="J140" s="4"/>
      <c r="K140" s="4"/>
      <c r="L140" s="15"/>
      <c r="M140" s="23"/>
      <c r="N140" s="7"/>
    </row>
    <row r="141" spans="3:13" ht="12.75">
      <c r="C141" s="10"/>
      <c r="D141" s="37"/>
      <c r="E141" s="110"/>
      <c r="F141" s="105"/>
      <c r="G141" s="4"/>
      <c r="H141" s="4"/>
      <c r="I141" s="7"/>
      <c r="J141" s="4"/>
      <c r="K141" s="4"/>
      <c r="L141" s="11"/>
      <c r="M141" s="7"/>
    </row>
    <row r="142" spans="3:13" ht="12.75">
      <c r="C142" s="10"/>
      <c r="D142" s="36" t="s">
        <v>75</v>
      </c>
      <c r="E142" s="112" t="s">
        <v>74</v>
      </c>
      <c r="F142" s="109"/>
      <c r="G142" s="52" t="s">
        <v>180</v>
      </c>
      <c r="H142" s="57">
        <f>I137/I139</f>
        <v>4.310891332744925</v>
      </c>
      <c r="I142" s="7"/>
      <c r="J142" s="4"/>
      <c r="K142" s="4"/>
      <c r="L142" s="15"/>
      <c r="M142" s="23"/>
    </row>
    <row r="143" spans="1:12" ht="12.75">
      <c r="A143" s="16"/>
      <c r="B143" s="24"/>
      <c r="C143" s="10"/>
      <c r="D143" s="5"/>
      <c r="E143" s="108" t="s">
        <v>73</v>
      </c>
      <c r="F143" s="109"/>
      <c r="G143" s="52" t="s">
        <v>180</v>
      </c>
      <c r="H143" s="57">
        <f>I138/I140</f>
        <v>8.016062073434126</v>
      </c>
      <c r="I143" s="7"/>
      <c r="J143" s="4"/>
      <c r="K143" s="4"/>
      <c r="L143" s="7"/>
    </row>
    <row r="144" spans="1:12" ht="12.75">
      <c r="A144" s="37"/>
      <c r="B144" s="24" t="s">
        <v>239</v>
      </c>
      <c r="C144" s="24"/>
      <c r="E144" s="37"/>
      <c r="F144" s="39"/>
      <c r="G144" s="4"/>
      <c r="K144" s="25"/>
      <c r="L144" s="31"/>
    </row>
    <row r="145" spans="1:12" ht="12.75">
      <c r="A145" s="37"/>
      <c r="B145" t="s">
        <v>195</v>
      </c>
      <c r="C145" s="24"/>
      <c r="E145" s="37"/>
      <c r="F145" s="39"/>
      <c r="J145" s="52"/>
      <c r="K145" s="25"/>
      <c r="L145" s="31"/>
    </row>
    <row r="146" spans="1:12" ht="12.75">
      <c r="A146" s="37"/>
      <c r="B146" s="127" t="s">
        <v>199</v>
      </c>
      <c r="C146" s="24"/>
      <c r="E146" s="37"/>
      <c r="F146" s="39"/>
      <c r="J146" s="52"/>
      <c r="K146" s="25"/>
      <c r="L146" s="31"/>
    </row>
    <row r="147" spans="1:12" ht="12.75">
      <c r="A147" s="37"/>
      <c r="B147" s="38" t="s">
        <v>196</v>
      </c>
      <c r="C147" s="24"/>
      <c r="E147" s="37"/>
      <c r="F147" s="39"/>
      <c r="H147" s="127" t="s">
        <v>194</v>
      </c>
      <c r="J147" s="52"/>
      <c r="K147" s="25"/>
      <c r="L147" s="31"/>
    </row>
    <row r="148" spans="1:12" ht="12.75">
      <c r="A148" s="37"/>
      <c r="B148" s="4"/>
      <c r="C148" s="24"/>
      <c r="E148" s="37"/>
      <c r="F148" s="39"/>
      <c r="H148" s="4"/>
      <c r="J148" s="4"/>
      <c r="K148" s="25"/>
      <c r="L148" s="31"/>
    </row>
    <row r="149" spans="1:12" ht="12.75">
      <c r="A149" s="21">
        <v>4</v>
      </c>
      <c r="B149" s="13" t="s">
        <v>278</v>
      </c>
      <c r="C149" s="13"/>
      <c r="D149" s="13"/>
      <c r="E149" s="37"/>
      <c r="F149" s="173">
        <f>H142/(E132/100)</f>
        <v>73.10150663270473</v>
      </c>
      <c r="H149" s="4"/>
      <c r="J149" s="4"/>
      <c r="K149" s="25"/>
      <c r="L149" s="31"/>
    </row>
    <row r="150" spans="1:12" ht="12.75">
      <c r="A150" s="21"/>
      <c r="B150" s="13"/>
      <c r="C150" s="13"/>
      <c r="D150" s="13"/>
      <c r="E150" s="37"/>
      <c r="F150" s="160"/>
      <c r="H150" s="4"/>
      <c r="I150" s="18"/>
      <c r="J150" s="4"/>
      <c r="K150" s="4"/>
      <c r="L150" s="31"/>
    </row>
    <row r="151" spans="1:12" ht="12.75">
      <c r="A151" s="21">
        <v>5</v>
      </c>
      <c r="B151" s="16" t="s">
        <v>155</v>
      </c>
      <c r="C151" s="13"/>
      <c r="D151" s="13"/>
      <c r="E151" s="37"/>
      <c r="F151" s="160"/>
      <c r="H151" s="41"/>
      <c r="J151" s="4"/>
      <c r="K151" s="4"/>
      <c r="L151" s="31"/>
    </row>
    <row r="152" spans="1:12" ht="12.75">
      <c r="A152" s="4"/>
      <c r="B152" s="126" t="s">
        <v>156</v>
      </c>
      <c r="C152" s="13"/>
      <c r="D152" s="13"/>
      <c r="E152" s="37"/>
      <c r="F152" s="160"/>
      <c r="H152" s="41"/>
      <c r="J152" s="4"/>
      <c r="K152" s="4"/>
      <c r="L152" s="31"/>
    </row>
    <row r="153" spans="1:12" ht="12.75">
      <c r="A153" s="4"/>
      <c r="B153" s="41" t="s">
        <v>147</v>
      </c>
      <c r="C153" s="4"/>
      <c r="D153" s="4"/>
      <c r="E153" s="4"/>
      <c r="F153" s="4"/>
      <c r="G153" s="4"/>
      <c r="H153" s="41"/>
      <c r="J153" s="4"/>
      <c r="K153" s="4"/>
      <c r="L153" s="31"/>
    </row>
    <row r="154" spans="1:12" ht="12.75">
      <c r="A154" s="21"/>
      <c r="B154" s="130" t="s">
        <v>148</v>
      </c>
      <c r="C154" s="13"/>
      <c r="D154" s="13"/>
      <c r="E154" s="37"/>
      <c r="F154" s="41" t="s">
        <v>247</v>
      </c>
      <c r="G154" s="4"/>
      <c r="H154" s="2"/>
      <c r="J154" s="37"/>
      <c r="K154" s="4"/>
      <c r="L154" s="31"/>
    </row>
    <row r="155" spans="1:12" s="72" customFormat="1" ht="15">
      <c r="A155" s="96" t="s">
        <v>78</v>
      </c>
      <c r="B155" s="16"/>
      <c r="C155" s="16"/>
      <c r="D155" s="48"/>
      <c r="E155" s="36"/>
      <c r="F155" s="38"/>
      <c r="G155" s="38"/>
      <c r="H155" s="71"/>
      <c r="J155" s="73"/>
      <c r="K155" s="73"/>
      <c r="L155" s="74"/>
    </row>
    <row r="156" spans="1:7" s="72" customFormat="1" ht="15">
      <c r="A156" s="129" t="s">
        <v>115</v>
      </c>
      <c r="D156" s="41"/>
      <c r="E156" s="70"/>
      <c r="F156" s="3"/>
      <c r="G156" s="75"/>
    </row>
    <row r="157" spans="1:10" s="72" customFormat="1" ht="15">
      <c r="A157" s="64"/>
      <c r="B157" s="23" t="s">
        <v>205</v>
      </c>
      <c r="C157" s="23"/>
      <c r="D157" s="3"/>
      <c r="E157" s="70"/>
      <c r="F157" s="3"/>
      <c r="G157" s="21" t="s">
        <v>10</v>
      </c>
      <c r="H157" s="21" t="s">
        <v>9</v>
      </c>
      <c r="J157" s="21"/>
    </row>
    <row r="158" spans="1:9" s="72" customFormat="1" ht="15">
      <c r="A158" s="16"/>
      <c r="B158" s="41" t="s">
        <v>64</v>
      </c>
      <c r="C158" s="38"/>
      <c r="E158" s="177" t="s">
        <v>269</v>
      </c>
      <c r="F158" s="38"/>
      <c r="G158" s="175">
        <f>H158/3.6</f>
        <v>758.4866666666667</v>
      </c>
      <c r="H158" s="155">
        <v>2730.552</v>
      </c>
      <c r="I158" s="174" t="s">
        <v>279</v>
      </c>
    </row>
    <row r="159" spans="1:12" s="72" customFormat="1" ht="15">
      <c r="A159" s="37"/>
      <c r="B159" s="21"/>
      <c r="C159" s="21"/>
      <c r="E159" s="116" t="s">
        <v>80</v>
      </c>
      <c r="F159" s="37"/>
      <c r="H159" s="51">
        <f>H139*(I126/100)</f>
        <v>318.48602764423083</v>
      </c>
      <c r="J159" s="99"/>
      <c r="L159" s="76"/>
    </row>
    <row r="160" spans="1:13" s="72" customFormat="1" ht="15">
      <c r="A160" s="9"/>
      <c r="B160" s="178" t="s">
        <v>151</v>
      </c>
      <c r="E160" s="68">
        <f>100*H159/H158</f>
        <v>11.663796464752577</v>
      </c>
      <c r="F160" s="134" t="s">
        <v>4</v>
      </c>
      <c r="G160" s="69"/>
      <c r="I160" s="9"/>
      <c r="L160" s="77"/>
      <c r="M160" s="78"/>
    </row>
    <row r="161" spans="1:13" s="72" customFormat="1" ht="15">
      <c r="A161" s="9"/>
      <c r="B161" s="16" t="s">
        <v>200</v>
      </c>
      <c r="C161" s="21"/>
      <c r="D161" s="4"/>
      <c r="E161" s="5"/>
      <c r="F161" s="4"/>
      <c r="G161" s="4"/>
      <c r="H161" s="18"/>
      <c r="I161" s="4"/>
      <c r="J161" s="16"/>
      <c r="K161" s="68"/>
      <c r="L161" s="26"/>
      <c r="M161" s="23"/>
    </row>
    <row r="162" spans="1:13" s="72" customFormat="1" ht="15">
      <c r="A162" s="21"/>
      <c r="B162" s="132" t="s">
        <v>152</v>
      </c>
      <c r="C162" s="4"/>
      <c r="D162" s="4"/>
      <c r="E162" s="5"/>
      <c r="F162" s="4"/>
      <c r="G162" s="4"/>
      <c r="H162" s="18"/>
      <c r="I162" s="4"/>
      <c r="J162" s="16"/>
      <c r="K162" s="68"/>
      <c r="L162" s="26"/>
      <c r="M162" s="23"/>
    </row>
    <row r="163" spans="1:13" s="72" customFormat="1" ht="15">
      <c r="A163" s="21"/>
      <c r="B163" s="132" t="s">
        <v>153</v>
      </c>
      <c r="C163" s="4"/>
      <c r="D163" s="10"/>
      <c r="E163" s="5"/>
      <c r="F163" s="4"/>
      <c r="G163" s="4"/>
      <c r="H163" s="18"/>
      <c r="I163" s="4"/>
      <c r="J163" s="16"/>
      <c r="K163" s="68"/>
      <c r="L163" s="26"/>
      <c r="M163" s="23"/>
    </row>
    <row r="164" spans="1:13" s="72" customFormat="1" ht="15">
      <c r="A164" s="9"/>
      <c r="B164" s="21"/>
      <c r="C164" s="21"/>
      <c r="D164" s="10"/>
      <c r="E164" s="5"/>
      <c r="F164" s="4"/>
      <c r="G164" s="4"/>
      <c r="H164" s="18"/>
      <c r="I164" s="4"/>
      <c r="J164" s="16"/>
      <c r="K164" s="68"/>
      <c r="L164" s="26"/>
      <c r="M164" s="23"/>
    </row>
    <row r="165" spans="1:13" s="72" customFormat="1" ht="15">
      <c r="A165" s="93" t="s">
        <v>107</v>
      </c>
      <c r="B165" s="16"/>
      <c r="C165" s="16"/>
      <c r="D165" s="48"/>
      <c r="E165" s="36"/>
      <c r="F165" s="38"/>
      <c r="G165" s="38"/>
      <c r="H165" s="71"/>
      <c r="J165" s="73"/>
      <c r="K165" s="73"/>
      <c r="L165" s="74"/>
      <c r="M165" s="94"/>
    </row>
    <row r="166" spans="1:13" s="72" customFormat="1" ht="15">
      <c r="A166" s="96"/>
      <c r="B166" s="16" t="s">
        <v>248</v>
      </c>
      <c r="C166" s="16"/>
      <c r="D166" s="48"/>
      <c r="E166" s="36"/>
      <c r="F166" s="38"/>
      <c r="J166" s="73"/>
      <c r="K166" s="73"/>
      <c r="L166" s="74"/>
      <c r="M166" s="94"/>
    </row>
    <row r="167" spans="1:13" s="72" customFormat="1" ht="15">
      <c r="A167" s="95"/>
      <c r="B167" s="16"/>
      <c r="C167" s="40" t="s">
        <v>108</v>
      </c>
      <c r="D167" s="48"/>
      <c r="E167" s="36"/>
      <c r="J167" s="73"/>
      <c r="K167" s="73"/>
      <c r="L167" s="74"/>
      <c r="M167" s="94"/>
    </row>
    <row r="168" spans="1:13" s="72" customFormat="1" ht="15">
      <c r="A168" s="95"/>
      <c r="B168" s="16"/>
      <c r="C168" s="45" t="s">
        <v>116</v>
      </c>
      <c r="D168" s="48"/>
      <c r="E168" s="36"/>
      <c r="J168" s="73"/>
      <c r="K168" s="73"/>
      <c r="L168" s="74"/>
      <c r="M168" s="94"/>
    </row>
    <row r="169" spans="1:13" s="72" customFormat="1" ht="15">
      <c r="A169" s="95"/>
      <c r="B169" s="16"/>
      <c r="C169" s="40" t="s">
        <v>117</v>
      </c>
      <c r="D169" s="48"/>
      <c r="E169" s="36"/>
      <c r="G169" s="40"/>
      <c r="J169" s="73"/>
      <c r="K169" s="73"/>
      <c r="L169" s="74"/>
      <c r="M169" s="94"/>
    </row>
    <row r="170" spans="1:13" s="72" customFormat="1" ht="15">
      <c r="A170" s="95"/>
      <c r="B170" s="16" t="s">
        <v>142</v>
      </c>
      <c r="C170" s="16"/>
      <c r="D170" s="48"/>
      <c r="E170" s="41" t="s">
        <v>146</v>
      </c>
      <c r="G170" s="38"/>
      <c r="H170" s="45"/>
      <c r="J170" s="73"/>
      <c r="K170" s="73"/>
      <c r="L170" s="74"/>
      <c r="M170" s="94"/>
    </row>
    <row r="171" spans="1:16" s="72" customFormat="1" ht="15">
      <c r="A171" s="95"/>
      <c r="B171" s="16" t="s">
        <v>143</v>
      </c>
      <c r="C171" s="16"/>
      <c r="D171" s="48"/>
      <c r="E171" s="41" t="s">
        <v>145</v>
      </c>
      <c r="F171" s="38"/>
      <c r="H171" s="45"/>
      <c r="J171" s="73"/>
      <c r="K171" s="73"/>
      <c r="L171" s="74"/>
      <c r="M171" s="94"/>
      <c r="P171" s="40"/>
    </row>
    <row r="172" spans="1:16" s="72" customFormat="1" ht="15">
      <c r="A172" s="95"/>
      <c r="B172" s="132" t="s">
        <v>215</v>
      </c>
      <c r="C172" s="16"/>
      <c r="D172" s="48"/>
      <c r="F172" s="38"/>
      <c r="G172" s="132"/>
      <c r="H172" s="45"/>
      <c r="J172" s="73"/>
      <c r="K172" s="73"/>
      <c r="L172" s="74"/>
      <c r="M172" s="94"/>
      <c r="P172" s="40"/>
    </row>
    <row r="173" spans="1:16" s="72" customFormat="1" ht="15">
      <c r="A173" s="95"/>
      <c r="B173" s="16" t="s">
        <v>144</v>
      </c>
      <c r="C173" s="16"/>
      <c r="D173" s="48"/>
      <c r="E173" s="41" t="s">
        <v>158</v>
      </c>
      <c r="F173" s="38"/>
      <c r="G173" s="38" t="s">
        <v>157</v>
      </c>
      <c r="H173" s="45"/>
      <c r="J173" s="73"/>
      <c r="K173" s="73"/>
      <c r="L173" s="74"/>
      <c r="M173" s="94"/>
      <c r="P173" s="40"/>
    </row>
    <row r="174" spans="1:14" ht="12.75">
      <c r="A174" s="4"/>
      <c r="B174" s="4"/>
      <c r="C174" s="4"/>
      <c r="D174" s="4"/>
      <c r="E174" s="4"/>
      <c r="F174" s="4"/>
      <c r="G174" s="4"/>
      <c r="H174" s="4"/>
      <c r="J174" s="4"/>
      <c r="K174" s="4"/>
      <c r="N174" s="23"/>
    </row>
    <row r="175" spans="1:11" ht="12.75">
      <c r="A175" s="129" t="s">
        <v>81</v>
      </c>
      <c r="B175" s="4"/>
      <c r="C175" s="4"/>
      <c r="K175" s="67"/>
    </row>
    <row r="176" spans="2:5" ht="12.75">
      <c r="B176" s="13" t="s">
        <v>235</v>
      </c>
      <c r="C176" s="41"/>
      <c r="E176" s="37" t="s">
        <v>234</v>
      </c>
    </row>
    <row r="177" spans="1:4" ht="12.75">
      <c r="A177" s="13"/>
      <c r="B177" s="128" t="s">
        <v>83</v>
      </c>
      <c r="C177" s="4"/>
      <c r="D177" s="128"/>
    </row>
    <row r="178" spans="1:11" ht="12.75">
      <c r="A178" s="16"/>
      <c r="D178" s="4"/>
      <c r="G178" s="4"/>
      <c r="H178" s="36" t="s">
        <v>236</v>
      </c>
      <c r="J178" s="4"/>
      <c r="K178" s="37" t="s">
        <v>201</v>
      </c>
    </row>
    <row r="179" spans="1:11" ht="12.75">
      <c r="A179" s="37"/>
      <c r="B179" s="13" t="s">
        <v>240</v>
      </c>
      <c r="C179" s="13"/>
      <c r="D179" s="41"/>
      <c r="F179" s="5"/>
      <c r="G179" s="27" t="s">
        <v>10</v>
      </c>
      <c r="H179" s="21" t="s">
        <v>26</v>
      </c>
      <c r="I179" s="7"/>
      <c r="J179" s="49" t="s">
        <v>181</v>
      </c>
      <c r="K179" s="40" t="s">
        <v>82</v>
      </c>
    </row>
    <row r="180" spans="2:11" ht="12.75">
      <c r="B180" s="38" t="s">
        <v>92</v>
      </c>
      <c r="C180" s="38"/>
      <c r="F180" s="37" t="s">
        <v>84</v>
      </c>
      <c r="G180" s="6">
        <v>217</v>
      </c>
      <c r="H180" s="6">
        <v>120</v>
      </c>
      <c r="I180" s="10"/>
      <c r="J180" s="11">
        <f>G180/$G$139</f>
        <v>1.9152691968225948</v>
      </c>
      <c r="K180" s="46">
        <f>H180/$I$137</f>
        <v>2.1537025736745754</v>
      </c>
    </row>
    <row r="181" spans="1:13" ht="12.75">
      <c r="A181" s="16"/>
      <c r="B181" s="38" t="s">
        <v>238</v>
      </c>
      <c r="C181" s="38"/>
      <c r="F181" s="5"/>
      <c r="G181" s="18">
        <v>112</v>
      </c>
      <c r="H181" s="6">
        <v>32</v>
      </c>
      <c r="I181" s="41" t="s">
        <v>94</v>
      </c>
      <c r="J181" s="25"/>
      <c r="K181" s="11"/>
      <c r="M181" s="44"/>
    </row>
    <row r="182" spans="1:13" ht="12.75">
      <c r="A182" s="37"/>
      <c r="B182" s="4"/>
      <c r="C182" s="4"/>
      <c r="D182" s="4"/>
      <c r="E182" s="4"/>
      <c r="F182" s="4"/>
      <c r="G182" s="4"/>
      <c r="H182" s="4"/>
      <c r="I182" s="7"/>
      <c r="J182" s="4"/>
      <c r="K182" s="40"/>
      <c r="M182" s="40"/>
    </row>
    <row r="183" spans="1:14" ht="12.75">
      <c r="A183" s="37"/>
      <c r="B183" s="41" t="s">
        <v>93</v>
      </c>
      <c r="C183" s="41"/>
      <c r="F183" s="79">
        <v>357000</v>
      </c>
      <c r="G183" s="7" t="s">
        <v>6</v>
      </c>
      <c r="H183" s="7"/>
      <c r="K183" s="4"/>
      <c r="M183" s="40"/>
      <c r="N183" s="40"/>
    </row>
    <row r="184" spans="1:14" ht="12.75">
      <c r="A184" s="16"/>
      <c r="B184" s="102" t="s">
        <v>237</v>
      </c>
      <c r="C184" s="102"/>
      <c r="D184" s="4"/>
      <c r="E184" s="6"/>
      <c r="F184" s="46">
        <f>F183/(K180*G120)</f>
        <v>5.670727994252677</v>
      </c>
      <c r="G184" s="7" t="s">
        <v>30</v>
      </c>
      <c r="H184" s="4"/>
      <c r="K184" s="9"/>
      <c r="M184" s="31"/>
      <c r="N184" s="40"/>
    </row>
    <row r="185" spans="1:14" ht="12.75">
      <c r="A185" s="16"/>
      <c r="B185" s="45" t="s">
        <v>203</v>
      </c>
      <c r="C185" s="45"/>
      <c r="D185" s="4"/>
      <c r="E185" s="4"/>
      <c r="F185" s="57">
        <f>SQRT(F184)</f>
        <v>2.3813290394762077</v>
      </c>
      <c r="G185" s="134" t="s">
        <v>31</v>
      </c>
      <c r="H185" s="4"/>
      <c r="K185" s="4"/>
      <c r="M185" s="40"/>
      <c r="N185" s="40"/>
    </row>
    <row r="186" spans="13:14" ht="12.75">
      <c r="M186" s="40"/>
      <c r="N186" s="40"/>
    </row>
    <row r="187" spans="2:14" ht="12.75">
      <c r="B187" s="13" t="s">
        <v>241</v>
      </c>
      <c r="C187" s="13"/>
      <c r="D187" s="84"/>
      <c r="J187" s="49" t="s">
        <v>181</v>
      </c>
      <c r="K187" s="40" t="s">
        <v>82</v>
      </c>
      <c r="M187" s="40"/>
      <c r="N187" s="40"/>
    </row>
    <row r="188" spans="2:11" ht="12.75">
      <c r="B188" s="38" t="s">
        <v>95</v>
      </c>
      <c r="C188" s="38"/>
      <c r="D188" s="18"/>
      <c r="F188" s="37" t="s">
        <v>84</v>
      </c>
      <c r="G188" s="6">
        <v>143</v>
      </c>
      <c r="H188" s="6">
        <v>147</v>
      </c>
      <c r="I188" s="7"/>
      <c r="J188" s="11">
        <f>G188/$G$140</f>
        <v>3.088552915766739</v>
      </c>
      <c r="K188" s="46">
        <f>H188/$I$138</f>
        <v>3.471976192163254</v>
      </c>
    </row>
    <row r="189" spans="1:11" ht="12.75">
      <c r="A189" s="16"/>
      <c r="B189" s="48" t="s">
        <v>96</v>
      </c>
      <c r="C189" s="48"/>
      <c r="F189" s="57">
        <f>H188/(H143*I208)</f>
        <v>1.189454364468937</v>
      </c>
      <c r="G189" s="134" t="s">
        <v>6</v>
      </c>
      <c r="H189" s="4"/>
      <c r="I189" s="7"/>
      <c r="K189" s="4"/>
    </row>
    <row r="190" spans="1:13" ht="15">
      <c r="A190" s="62" t="s">
        <v>85</v>
      </c>
      <c r="E190" s="6"/>
      <c r="F190" s="6"/>
      <c r="G190" s="7"/>
      <c r="J190" s="5"/>
      <c r="K190" s="22"/>
      <c r="L190" s="28"/>
      <c r="M190" s="23"/>
    </row>
    <row r="191" spans="1:13" ht="12.75">
      <c r="A191" s="80" t="s">
        <v>86</v>
      </c>
      <c r="D191" s="41" t="s">
        <v>150</v>
      </c>
      <c r="G191" s="5"/>
      <c r="J191" s="5"/>
      <c r="K191" s="22"/>
      <c r="L191" s="15"/>
      <c r="M191" s="23"/>
    </row>
    <row r="192" spans="1:13" ht="12.75">
      <c r="A192" s="16"/>
      <c r="B192" s="13" t="s">
        <v>204</v>
      </c>
      <c r="C192" s="13"/>
      <c r="D192" s="41" t="s">
        <v>206</v>
      </c>
      <c r="J192" s="5"/>
      <c r="K192" s="22"/>
      <c r="L192" s="15"/>
      <c r="M192" s="23"/>
    </row>
    <row r="193" spans="2:12" ht="12.75">
      <c r="B193" s="63" t="s">
        <v>29</v>
      </c>
      <c r="C193" s="63"/>
      <c r="E193" s="79">
        <v>2100000</v>
      </c>
      <c r="F193" s="38" t="s">
        <v>87</v>
      </c>
      <c r="G193" s="50">
        <f>E193*10000</f>
        <v>21000000000</v>
      </c>
      <c r="H193" s="40" t="s">
        <v>88</v>
      </c>
      <c r="J193" s="24"/>
      <c r="K193" s="9"/>
      <c r="L193" s="29"/>
    </row>
    <row r="194" spans="1:8" ht="12.75">
      <c r="A194" s="16"/>
      <c r="B194" s="63" t="s">
        <v>28</v>
      </c>
      <c r="C194" s="63"/>
      <c r="E194" s="66">
        <v>1000</v>
      </c>
      <c r="F194" s="44" t="s">
        <v>9</v>
      </c>
      <c r="G194" s="81">
        <f>E194*H33*1000000</f>
        <v>31688087814.028954</v>
      </c>
      <c r="H194" s="38" t="s">
        <v>89</v>
      </c>
    </row>
    <row r="195" spans="1:11" ht="12.75">
      <c r="A195" s="25"/>
      <c r="B195" s="41" t="s">
        <v>208</v>
      </c>
      <c r="C195" s="41"/>
      <c r="E195" s="82">
        <f>G194/G193</f>
        <v>1.5089565625728074</v>
      </c>
      <c r="F195" s="134" t="s">
        <v>27</v>
      </c>
      <c r="G195" s="4"/>
      <c r="H195" s="4"/>
      <c r="K195" s="4"/>
    </row>
    <row r="196" spans="1:13" ht="12.75">
      <c r="A196" s="4"/>
      <c r="D196" s="2"/>
      <c r="F196" s="6"/>
      <c r="G196" s="10"/>
      <c r="I196" s="11"/>
      <c r="J196" s="10"/>
      <c r="K196" s="37"/>
      <c r="L196" s="15"/>
      <c r="M196" s="7"/>
    </row>
    <row r="197" spans="1:13" ht="12.75">
      <c r="A197" s="93" t="s">
        <v>90</v>
      </c>
      <c r="D197" s="2"/>
      <c r="E197" s="85"/>
      <c r="F197" s="36"/>
      <c r="G197" s="7"/>
      <c r="J197" s="11"/>
      <c r="K197" s="20"/>
      <c r="L197" s="11"/>
      <c r="M197" s="7"/>
    </row>
    <row r="198" spans="1:13" s="5" customFormat="1" ht="12.75">
      <c r="A198" s="16"/>
      <c r="B198" s="13" t="s">
        <v>281</v>
      </c>
      <c r="C198" s="13"/>
      <c r="D198" s="10"/>
      <c r="G198" s="11"/>
      <c r="H198" s="12"/>
      <c r="I198" s="4"/>
      <c r="J198" s="7"/>
      <c r="K198" s="7"/>
      <c r="L198" s="4"/>
      <c r="M198" s="4"/>
    </row>
    <row r="199" spans="1:14" s="5" customFormat="1" ht="12.75">
      <c r="A199" s="16"/>
      <c r="B199" s="38" t="s">
        <v>273</v>
      </c>
      <c r="C199" s="13"/>
      <c r="D199" s="10"/>
      <c r="G199" s="11"/>
      <c r="H199" s="12"/>
      <c r="I199" s="4"/>
      <c r="J199" s="7"/>
      <c r="K199" s="7"/>
      <c r="L199" s="4"/>
      <c r="M199" s="4"/>
      <c r="N199" s="44"/>
    </row>
    <row r="200" spans="2:13" ht="12.75">
      <c r="B200" s="40" t="s">
        <v>211</v>
      </c>
      <c r="C200" s="13"/>
      <c r="E200" s="38"/>
      <c r="F200" s="4"/>
      <c r="J200" s="11"/>
      <c r="K200" s="30"/>
      <c r="L200" s="15"/>
      <c r="M200" s="23"/>
    </row>
    <row r="201" spans="1:11" ht="12.75">
      <c r="A201" s="4"/>
      <c r="B201" s="83" t="s">
        <v>138</v>
      </c>
      <c r="C201" s="5"/>
      <c r="D201" s="6"/>
      <c r="E201" s="10"/>
      <c r="F201" s="12"/>
      <c r="G201" s="5"/>
      <c r="H201" s="10"/>
      <c r="I201" s="37"/>
      <c r="J201" s="15"/>
      <c r="K201" s="5"/>
    </row>
    <row r="202" spans="1:13" ht="12.75">
      <c r="A202" s="2"/>
      <c r="B202" s="41" t="s">
        <v>28</v>
      </c>
      <c r="E202" s="6">
        <v>150</v>
      </c>
      <c r="F202" s="38" t="s">
        <v>270</v>
      </c>
      <c r="G202" s="7"/>
      <c r="H202" s="36" t="s">
        <v>208</v>
      </c>
      <c r="I202" s="46">
        <f>E202/H31*1000</f>
        <v>17.111567419575632</v>
      </c>
      <c r="J202" s="40" t="s">
        <v>27</v>
      </c>
      <c r="L202" s="57">
        <f>I202*H143</f>
        <v>137.1673866090713</v>
      </c>
      <c r="M202" s="134" t="s">
        <v>275</v>
      </c>
    </row>
    <row r="203" spans="1:11" ht="12.75">
      <c r="A203" s="2"/>
      <c r="B203" s="127" t="s">
        <v>209</v>
      </c>
      <c r="C203" s="5"/>
      <c r="D203" s="11"/>
      <c r="E203" s="11"/>
      <c r="F203" s="12"/>
      <c r="G203" s="4"/>
      <c r="H203" s="39" t="s">
        <v>131</v>
      </c>
      <c r="J203" s="4"/>
      <c r="K203" s="23"/>
    </row>
    <row r="204" spans="1:13" ht="12.75">
      <c r="A204" s="2"/>
      <c r="B204" s="41" t="s">
        <v>271</v>
      </c>
      <c r="E204" s="22">
        <v>125</v>
      </c>
      <c r="F204" s="5" t="s">
        <v>110</v>
      </c>
      <c r="G204" s="7"/>
      <c r="H204" s="36" t="s">
        <v>208</v>
      </c>
      <c r="I204" s="46">
        <f>E204/H143</f>
        <v>15.593691622506274</v>
      </c>
      <c r="J204" s="4" t="s">
        <v>112</v>
      </c>
      <c r="K204" s="4"/>
      <c r="M204" s="13"/>
    </row>
    <row r="205" spans="1:11" ht="12.75">
      <c r="A205" s="2"/>
      <c r="B205" s="126" t="s">
        <v>210</v>
      </c>
      <c r="C205" s="5"/>
      <c r="D205" s="5"/>
      <c r="E205" s="7"/>
      <c r="F205" s="6"/>
      <c r="G205" s="104"/>
      <c r="H205" s="4"/>
      <c r="J205" s="4"/>
      <c r="K205" s="4"/>
    </row>
    <row r="206" spans="1:11" ht="12.75">
      <c r="A206" s="2"/>
      <c r="B206" s="41" t="s">
        <v>272</v>
      </c>
      <c r="E206" s="6">
        <v>950</v>
      </c>
      <c r="F206" s="5" t="s">
        <v>111</v>
      </c>
      <c r="G206" s="7"/>
      <c r="H206" s="18" t="s">
        <v>28</v>
      </c>
      <c r="I206" s="46">
        <f>E206*E204/1000</f>
        <v>118.75</v>
      </c>
      <c r="J206" s="4" t="s">
        <v>109</v>
      </c>
      <c r="K206" s="4"/>
    </row>
    <row r="207" spans="1:11" ht="12.75">
      <c r="A207" s="2"/>
      <c r="D207" s="5"/>
      <c r="E207" s="11"/>
      <c r="G207" s="7"/>
      <c r="H207" s="36" t="s">
        <v>208</v>
      </c>
      <c r="I207" s="46">
        <f>I206/H31*1000</f>
        <v>13.546657540497376</v>
      </c>
      <c r="J207" s="4" t="s">
        <v>27</v>
      </c>
      <c r="K207" s="4"/>
    </row>
    <row r="208" spans="1:13" ht="12.75">
      <c r="A208" s="4"/>
      <c r="D208" s="5"/>
      <c r="E208" s="11"/>
      <c r="F208" s="4"/>
      <c r="G208" s="7"/>
      <c r="H208" s="36" t="s">
        <v>242</v>
      </c>
      <c r="I208" s="15">
        <f>(I202+I204+I207)/3</f>
        <v>15.417305527526429</v>
      </c>
      <c r="J208" s="134" t="s">
        <v>27</v>
      </c>
      <c r="K208" s="4"/>
      <c r="L208" s="57">
        <f>I208*H143</f>
        <v>123.58607811375092</v>
      </c>
      <c r="M208" s="134" t="s">
        <v>275</v>
      </c>
    </row>
    <row r="209" spans="2:12" ht="12.75">
      <c r="B209" s="23" t="s">
        <v>154</v>
      </c>
      <c r="C209" s="4"/>
      <c r="D209" s="4"/>
      <c r="E209" s="4"/>
      <c r="F209" s="118" t="s">
        <v>173</v>
      </c>
      <c r="G209" s="4"/>
      <c r="H209" s="4"/>
      <c r="I209" s="40" t="s">
        <v>174</v>
      </c>
      <c r="J209" s="4"/>
      <c r="K209" s="4"/>
      <c r="L209" s="7"/>
    </row>
    <row r="210" spans="1:12" ht="12.75">
      <c r="A210" s="4"/>
      <c r="L210" s="7"/>
    </row>
    <row r="211" spans="1:12" ht="12.75">
      <c r="A211" s="93" t="s">
        <v>91</v>
      </c>
      <c r="B211" s="21"/>
      <c r="C211" s="21"/>
      <c r="E211" s="6"/>
      <c r="F211" s="5"/>
      <c r="G211" s="27" t="s">
        <v>262</v>
      </c>
      <c r="H211" s="23"/>
      <c r="I211" s="21" t="s">
        <v>263</v>
      </c>
      <c r="J211" s="4"/>
      <c r="K211" s="4"/>
      <c r="L211" s="7"/>
    </row>
    <row r="212" spans="1:12" ht="12.75">
      <c r="A212" s="93"/>
      <c r="B212" s="16" t="s">
        <v>264</v>
      </c>
      <c r="C212" s="21"/>
      <c r="E212" s="6"/>
      <c r="F212" s="5"/>
      <c r="G212" s="57">
        <f>I137/G120*1000000</f>
        <v>1906.1270568916561</v>
      </c>
      <c r="H212" s="134" t="s">
        <v>3</v>
      </c>
      <c r="J212" s="4"/>
      <c r="K212" s="4"/>
      <c r="L212" s="7"/>
    </row>
    <row r="213" spans="1:12" ht="12.75">
      <c r="A213" s="4"/>
      <c r="B213" s="16" t="s">
        <v>265</v>
      </c>
      <c r="C213" s="4"/>
      <c r="D213" s="4"/>
      <c r="E213" s="4"/>
      <c r="F213" s="4"/>
      <c r="G213" s="57">
        <f>I139/G120*1000000</f>
        <v>442.16541540098285</v>
      </c>
      <c r="H213" s="134" t="s">
        <v>3</v>
      </c>
      <c r="I213" s="134">
        <f>G213*I126/100</f>
        <v>345.2571999429249</v>
      </c>
      <c r="J213" s="134" t="s">
        <v>3</v>
      </c>
      <c r="K213" s="4"/>
      <c r="L213" s="7"/>
    </row>
    <row r="214" spans="1:12" ht="12.75">
      <c r="A214" s="21"/>
      <c r="B214" s="13" t="s">
        <v>243</v>
      </c>
      <c r="F214" s="118" t="s">
        <v>171</v>
      </c>
      <c r="G214" s="5"/>
      <c r="H214" s="11"/>
      <c r="I214" s="5"/>
      <c r="J214" s="12"/>
      <c r="K214" s="40" t="s">
        <v>172</v>
      </c>
      <c r="L214" s="7"/>
    </row>
    <row r="215" spans="2:12" ht="12.75">
      <c r="B215" s="13" t="s">
        <v>245</v>
      </c>
      <c r="G215" s="57">
        <f>111/0.3</f>
        <v>370</v>
      </c>
      <c r="H215" s="165" t="s">
        <v>3</v>
      </c>
      <c r="I215" s="11"/>
      <c r="J215" s="4"/>
      <c r="K215" s="4"/>
      <c r="L215" s="7"/>
    </row>
    <row r="216" spans="2:12" ht="12.75">
      <c r="B216" s="13" t="s">
        <v>244</v>
      </c>
      <c r="G216" s="4"/>
      <c r="K216" s="4"/>
      <c r="L216" s="7"/>
    </row>
    <row r="217" spans="1:11" ht="12.75">
      <c r="A217" s="21"/>
      <c r="B217" s="41" t="s">
        <v>60</v>
      </c>
      <c r="C217" s="4"/>
      <c r="D217" s="166" t="s">
        <v>57</v>
      </c>
      <c r="E217" s="23">
        <v>45.8</v>
      </c>
      <c r="F217" s="16" t="s">
        <v>149</v>
      </c>
      <c r="G217" s="4">
        <v>44.4</v>
      </c>
      <c r="H217" s="44" t="s">
        <v>149</v>
      </c>
      <c r="I217" s="43" t="s">
        <v>251</v>
      </c>
      <c r="J217" s="4"/>
      <c r="K217" s="4"/>
    </row>
    <row r="218" spans="2:12" ht="12.75">
      <c r="B218" s="13" t="s">
        <v>250</v>
      </c>
      <c r="L218" s="7"/>
    </row>
    <row r="219" spans="1:11" ht="12.75">
      <c r="A219" s="4"/>
      <c r="B219" s="13" t="s">
        <v>252</v>
      </c>
      <c r="C219" s="4"/>
      <c r="D219" s="4"/>
      <c r="E219" s="4"/>
      <c r="F219" s="4"/>
      <c r="G219" s="4">
        <v>440</v>
      </c>
      <c r="H219" s="40" t="s">
        <v>10</v>
      </c>
      <c r="J219" s="4"/>
      <c r="K219" s="4"/>
    </row>
    <row r="220" spans="1:11" ht="12.75">
      <c r="A220" s="4"/>
      <c r="B220" s="41" t="s">
        <v>268</v>
      </c>
      <c r="C220" s="4"/>
      <c r="D220" s="4"/>
      <c r="E220" s="4"/>
      <c r="F220" s="4"/>
      <c r="G220" s="4"/>
      <c r="H220" s="40"/>
      <c r="J220" s="4"/>
      <c r="K220" s="4"/>
    </row>
    <row r="221" spans="1:11" ht="12.75">
      <c r="A221" s="4"/>
      <c r="B221" s="118" t="s">
        <v>249</v>
      </c>
      <c r="C221" s="4"/>
      <c r="D221" s="4"/>
      <c r="E221" s="4"/>
      <c r="F221" s="4"/>
      <c r="G221" s="4"/>
      <c r="H221" s="4"/>
      <c r="J221" s="4"/>
      <c r="K221" s="4"/>
    </row>
    <row r="222" spans="1:12" ht="12.75">
      <c r="A222" s="4"/>
      <c r="B222" s="4"/>
      <c r="C222" s="4"/>
      <c r="D222" s="4"/>
      <c r="E222" s="4"/>
      <c r="F222" s="37" t="s">
        <v>266</v>
      </c>
      <c r="G222" s="167">
        <f>G219/G217</f>
        <v>9.90990990990991</v>
      </c>
      <c r="H222" s="40" t="s">
        <v>253</v>
      </c>
      <c r="J222" s="4"/>
      <c r="K222" s="4"/>
      <c r="L222" s="7"/>
    </row>
    <row r="223" spans="1:12" ht="12.75">
      <c r="A223" s="4"/>
      <c r="B223" s="4"/>
      <c r="C223" s="4"/>
      <c r="D223" s="4"/>
      <c r="E223" s="4"/>
      <c r="F223" s="36" t="s">
        <v>274</v>
      </c>
      <c r="G223" s="51">
        <f>I213*H31/1000</f>
        <v>3026.52461469968</v>
      </c>
      <c r="H223" s="168" t="s">
        <v>253</v>
      </c>
      <c r="J223" s="4"/>
      <c r="K223" s="4"/>
      <c r="L223" s="7"/>
    </row>
    <row r="224" spans="1:12" ht="12.75">
      <c r="A224" s="4"/>
      <c r="B224" s="4"/>
      <c r="C224" s="4"/>
      <c r="D224" s="4"/>
      <c r="E224" s="4"/>
      <c r="F224" s="37" t="s">
        <v>254</v>
      </c>
      <c r="G224" s="169">
        <f>G223/G222</f>
        <v>305.40384748333133</v>
      </c>
      <c r="H224" s="134" t="s">
        <v>261</v>
      </c>
      <c r="J224" s="4"/>
      <c r="K224" s="4"/>
      <c r="L224" s="7"/>
    </row>
    <row r="225" spans="1:12" ht="12.75">
      <c r="A225" s="4"/>
      <c r="B225" s="4"/>
      <c r="C225" s="4"/>
      <c r="D225" s="4"/>
      <c r="E225" s="4"/>
      <c r="F225" s="4"/>
      <c r="G225" s="4"/>
      <c r="H225" s="4"/>
      <c r="J225" s="4"/>
      <c r="K225" s="4"/>
      <c r="L225" s="7"/>
    </row>
    <row r="226" spans="1:12" ht="12.75">
      <c r="A226" s="4"/>
      <c r="B226" s="4"/>
      <c r="C226" s="4"/>
      <c r="D226" s="4"/>
      <c r="E226" s="4"/>
      <c r="F226" s="4"/>
      <c r="G226" s="4"/>
      <c r="H226" s="4"/>
      <c r="J226" s="4"/>
      <c r="K226" s="4"/>
      <c r="L226" s="7"/>
    </row>
    <row r="227" ht="12.75">
      <c r="L227" s="7"/>
    </row>
    <row r="228" ht="12.75">
      <c r="L228" s="7"/>
    </row>
    <row r="229" ht="12.75">
      <c r="L229" s="7"/>
    </row>
    <row r="231" ht="12.75">
      <c r="L231" s="7"/>
    </row>
    <row r="232" ht="12.75">
      <c r="L232" s="7"/>
    </row>
    <row r="233" ht="12.75">
      <c r="L233" s="7"/>
    </row>
    <row r="234" ht="12.75">
      <c r="L234" s="7"/>
    </row>
    <row r="235" ht="12.75">
      <c r="L235" s="7"/>
    </row>
    <row r="236" ht="12.75">
      <c r="L236" s="7"/>
    </row>
    <row r="237" ht="12.75">
      <c r="L237" s="7"/>
    </row>
    <row r="238" ht="12.75">
      <c r="L238" s="7"/>
    </row>
    <row r="239" ht="12.75">
      <c r="L239" s="7"/>
    </row>
    <row r="240" ht="12.75">
      <c r="L240" s="7"/>
    </row>
    <row r="241" ht="12.75">
      <c r="L241" s="7"/>
    </row>
    <row r="242" ht="12.75">
      <c r="L242" s="7"/>
    </row>
    <row r="243" ht="12.75">
      <c r="L243" s="7"/>
    </row>
    <row r="244" ht="12.75">
      <c r="L244" s="11"/>
    </row>
    <row r="245" ht="12.75">
      <c r="L245" s="7"/>
    </row>
    <row r="246" ht="12.75">
      <c r="L246" s="7"/>
    </row>
    <row r="247" ht="12.75">
      <c r="L247" s="7"/>
    </row>
    <row r="248" ht="12.75">
      <c r="L248" s="7"/>
    </row>
    <row r="249" ht="12.75">
      <c r="L249" s="7"/>
    </row>
    <row r="250" ht="12.75">
      <c r="L250" s="7"/>
    </row>
    <row r="252" ht="12.75">
      <c r="L252" s="7"/>
    </row>
    <row r="254" ht="12.75">
      <c r="L254" s="7"/>
    </row>
    <row r="255" spans="11:12" ht="12.75">
      <c r="K255" s="4"/>
      <c r="L255" s="7"/>
    </row>
    <row r="256" ht="12.75">
      <c r="G256" s="4"/>
    </row>
    <row r="257" spans="2:12" ht="12.75">
      <c r="B257" s="4"/>
      <c r="C257" s="4"/>
      <c r="D257" s="4"/>
      <c r="E257" s="4"/>
      <c r="F257" s="4"/>
      <c r="G257" s="4"/>
      <c r="H257" s="4"/>
      <c r="J257" s="4"/>
      <c r="K257" s="4"/>
      <c r="L257" s="7"/>
    </row>
    <row r="258" ht="12.75">
      <c r="L258" s="7"/>
    </row>
    <row r="259" ht="12.75">
      <c r="L259" s="7"/>
    </row>
    <row r="260" ht="12.75">
      <c r="L260" s="7"/>
    </row>
    <row r="261" ht="12.75">
      <c r="L261" s="7"/>
    </row>
    <row r="262" ht="12.75">
      <c r="L262" s="7"/>
    </row>
    <row r="263" ht="12.75">
      <c r="L263" s="7"/>
    </row>
    <row r="268" spans="4:6" ht="12.75">
      <c r="D268" s="14"/>
      <c r="E268" s="4"/>
      <c r="F268" s="4"/>
    </row>
    <row r="272" spans="2:4" ht="12.75">
      <c r="B272" s="32"/>
      <c r="C272" s="32"/>
      <c r="D272" s="33"/>
    </row>
    <row r="274" ht="12.75">
      <c r="I274" s="5"/>
    </row>
    <row r="280" spans="6:8" ht="12.75">
      <c r="F280" s="17"/>
      <c r="G280" s="17"/>
      <c r="H280" s="34"/>
    </row>
    <row r="286" ht="12.75">
      <c r="J286" s="4"/>
    </row>
    <row r="287" ht="12.75">
      <c r="J287" s="4"/>
    </row>
    <row r="291" ht="12.75">
      <c r="J291" s="4"/>
    </row>
    <row r="292" ht="12.75">
      <c r="J292" s="4"/>
    </row>
    <row r="295" spans="6:8" ht="12.75">
      <c r="F295" s="31"/>
      <c r="G295" s="31"/>
      <c r="H295" s="35"/>
    </row>
    <row r="297" spans="2:11" ht="12.75">
      <c r="B297" s="25"/>
      <c r="C297" s="25"/>
      <c r="D297" s="14"/>
      <c r="E297" s="4"/>
      <c r="F297" s="4"/>
      <c r="G297" s="4"/>
      <c r="H297" s="18"/>
      <c r="J297" s="4"/>
      <c r="K297" s="4"/>
    </row>
    <row r="298" spans="6:8" ht="12.75">
      <c r="F298" s="17"/>
      <c r="G298" s="17"/>
      <c r="H298" s="34"/>
    </row>
  </sheetData>
  <sheetProtection selectLockedCells="1" selectUnlockedCells="1"/>
  <hyperlinks>
    <hyperlink ref="D44" r:id="rId1" display="https://www.bmu.de/fileadmin/Daten_BMU/Download_PDF/Klimaschutz/pi-thg_abbildungen_bf.pdf"/>
    <hyperlink ref="B177" r:id="rId2" display="https://www.ise.fraunhofer.de/content/dam/ise/de/documents/publications/studies/Fraunhofer-ISE_Energiesystem-Deutschland-2050.pdf"/>
    <hyperlink ref="B7" r:id="rId3" display="https://www.bmwi.de/Redaktion/DE/Artikel/Energie/energiedaten-gesamtausgabe.html"/>
    <hyperlink ref="B2" r:id="rId4" display="https://www.physi.uni-heidelberg.de/energiewende/belege/files/Energiewende_Web_2019.pdf "/>
    <hyperlink ref="B201" r:id="rId5" display="https://www.ise.fraunhofer.de/content/dam/ise/de/documents/publications/studies/aktuelle-fakten-zur-photovoltaik-in-deutschland.pdf"/>
    <hyperlink ref="B162" r:id="rId6" display="https://www.kba.de/DE/Statistik/Fahrzeuge/Neuzulassungen/Motorisierung/n_motorisierung_pkw_zeitreihe_techn_merkmale.html?nn=652392"/>
    <hyperlink ref="B163" r:id="rId7" display="https://de.statista.com/infografik/10534/anteil-von-benzin-und-diesel-an-pkw-neuzulassungen-in-deutschland/"/>
    <hyperlink ref="B152" r:id="rId8" display="https://www.dpg-physik.de/veroeffentlichungen/publikationen/physikkonkret/zusatzinfos/zusatz_pk18.html "/>
    <hyperlink ref="B39" r:id="rId9" display="https://www.bmu.de/fileadmin/Daten_BMU/Download_PDF/Klimaschutz/klimaschutz_in_zahlen_klimaziele_bf.pdf"/>
    <hyperlink ref="B100" r:id="rId10" display="https://www.bundesregierung.de/breg-de/suche/bundesregierung-beschliesst-ausstieg-aus-der-kernkraft-bis-2022-457246"/>
    <hyperlink ref="B102" r:id="rId11" display="https://www.umweltbundesamt.de/themen/wasser/fluesse/nutzung-belastungen/nutzung-von-fluessen-wasserkraft#textpart-5"/>
    <hyperlink ref="C121" r:id="rId12" display="https://de.statista.com/statistik/daten/studie/20116/umfrage/anzahl-der-windkraftanlagen-in-deutschland-seit-1993/"/>
    <hyperlink ref="C118" r:id="rId13" display="https://www.sueddeutsche.de/muenchen/zweites-windrad-muenchen-1.4243916"/>
    <hyperlink ref="H147" r:id="rId14" display="https://www.wetterkontor.de/de/bft_tabelle.html"/>
    <hyperlink ref="B172" r:id="rId15" display="https://www.ingenieur.de/technik/fachbereiche/energie/schneller-brueter-in-russland-laeuft-jetzt-voller-leistung/"/>
    <hyperlink ref="B61" r:id="rId16" display="https://www.sueddeutsche.de/panorama/wetter-dieser-winter-war-warm-und-nass-1.3885552"/>
    <hyperlink ref="B48" r:id="rId17" display="https://de.statista.com/statistik/daten/studie/36306/umfrage/entwicklung-der-verguetung-nach-dem-eeg-seit-2000/"/>
    <hyperlink ref="B221" r:id="rId18" display="https://www.fvv-net.de/fileadmin/user_upload/medien/materialien/FVV__Kraftstoffe__Studie_Energiepfade__final_v.3_2018-10-01__DE.pdf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9"/>
  <headerFooter alignWithMargins="0">
    <oddFooter>&amp;C
</oddFooter>
  </headerFooter>
  <rowBreaks count="6" manualBreakCount="6">
    <brk id="35" max="255" man="1"/>
    <brk id="68" max="16" man="1"/>
    <brk id="98" max="16" man="1"/>
    <brk id="114" max="16" man="1"/>
    <brk id="154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Peter Geisinger</cp:lastModifiedBy>
  <cp:lastPrinted>2019-06-28T14:43:36Z</cp:lastPrinted>
  <dcterms:created xsi:type="dcterms:W3CDTF">2013-10-13T10:44:54Z</dcterms:created>
  <dcterms:modified xsi:type="dcterms:W3CDTF">2019-07-15T14:36:43Z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